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\Documents\PROJEKTI\INTERREG 2014\EST_LAT ostas māja\BŪVPROJEKTS\TĀMES\Precizēts Pēc PĀRB_27.06.18\"/>
    </mc:Choice>
  </mc:AlternateContent>
  <bookViews>
    <workbookView xWindow="32760" yWindow="32760" windowWidth="23040" windowHeight="9300" tabRatio="944" activeTab="12"/>
  </bookViews>
  <sheets>
    <sheet name="1-1.VC" sheetId="110" r:id="rId1"/>
    <sheet name="1-2.BK" sheetId="151" r:id="rId2"/>
    <sheet name="2-1.ŪK" sheetId="153" r:id="rId3"/>
    <sheet name="2-2.A" sheetId="154" r:id="rId4"/>
    <sheet name="2-3.V" sheetId="155" r:id="rId5"/>
    <sheet name="2-4.EL" sheetId="156" r:id="rId6"/>
    <sheet name="2-5.VS" sheetId="157" r:id="rId7"/>
    <sheet name="2-6.UAS" sheetId="163" r:id="rId8"/>
    <sheet name="2-7.ŪKT" sheetId="158" r:id="rId9"/>
    <sheet name="2-8.ELT" sheetId="159" r:id="rId10"/>
    <sheet name="2-9.Lifts" sheetId="162" r:id="rId11"/>
    <sheet name="2.10.Gāze" sheetId="164" r:id="rId12"/>
    <sheet name="3-1.LAB" sheetId="161" r:id="rId13"/>
  </sheets>
  <externalReferences>
    <externalReference r:id="rId14"/>
  </externalReferences>
  <definedNames>
    <definedName name="_xlnm._FilterDatabase" localSheetId="0" hidden="1">'1-1.VC'!$A$13:$G$341</definedName>
    <definedName name="_xlnm.Print_Area" localSheetId="0">'1-1.VC'!$A$1:$E$348</definedName>
    <definedName name="_xlnm.Print_Area" localSheetId="10">'2-9.Lifts'!$A$1:$E$20</definedName>
  </definedNames>
  <calcPr calcId="152511"/>
  <fileRecoveryPr autoRecover="0"/>
</workbook>
</file>

<file path=xl/calcChain.xml><?xml version="1.0" encoding="utf-8"?>
<calcChain xmlns="http://schemas.openxmlformats.org/spreadsheetml/2006/main">
  <c r="A14" i="164" l="1"/>
  <c r="A15" i="164"/>
  <c r="A16" i="164"/>
  <c r="A17" i="164"/>
  <c r="A18" i="164"/>
  <c r="A19" i="164"/>
  <c r="A20" i="164"/>
  <c r="A21" i="164"/>
  <c r="A22" i="164"/>
  <c r="A23" i="164"/>
  <c r="A24" i="164"/>
  <c r="A25" i="164"/>
  <c r="A26" i="164"/>
  <c r="A29" i="164"/>
  <c r="A30" i="164"/>
  <c r="A32" i="164"/>
  <c r="A33" i="164"/>
  <c r="A34" i="164"/>
  <c r="A35" i="164"/>
  <c r="A36" i="164"/>
  <c r="A37" i="164"/>
  <c r="A38" i="164"/>
  <c r="A39" i="164"/>
  <c r="A40" i="164"/>
  <c r="A41" i="164"/>
  <c r="A42" i="164"/>
  <c r="A43" i="164"/>
  <c r="A44" i="164"/>
  <c r="A45" i="164"/>
  <c r="A46" i="164"/>
  <c r="A47" i="164"/>
  <c r="A48" i="164"/>
  <c r="A49" i="164"/>
  <c r="A50" i="164"/>
  <c r="A51" i="164"/>
  <c r="A8" i="164"/>
  <c r="A6" i="164"/>
  <c r="A5" i="164"/>
  <c r="A4" i="164"/>
  <c r="A3" i="164"/>
  <c r="E49" i="110"/>
  <c r="E47" i="110"/>
  <c r="E149" i="110"/>
  <c r="E138" i="110"/>
  <c r="E135" i="110"/>
  <c r="E160" i="110"/>
  <c r="E159" i="110"/>
  <c r="E158" i="110"/>
  <c r="E157" i="110"/>
  <c r="E151" i="110"/>
  <c r="E155" i="110"/>
  <c r="E154" i="110"/>
  <c r="E153" i="110"/>
  <c r="E152" i="110"/>
  <c r="E147" i="110"/>
  <c r="E142" i="110"/>
  <c r="E148" i="110"/>
  <c r="E146" i="110"/>
  <c r="E144" i="110"/>
  <c r="E143" i="110"/>
  <c r="E141" i="110"/>
  <c r="E140" i="110"/>
  <c r="E134" i="110"/>
  <c r="E137" i="110"/>
  <c r="E136" i="110"/>
  <c r="E133" i="110"/>
  <c r="E50" i="110"/>
  <c r="E45" i="110"/>
  <c r="E325" i="110"/>
  <c r="E324" i="110"/>
  <c r="E323" i="110"/>
  <c r="E321" i="110"/>
  <c r="E320" i="110"/>
  <c r="E319" i="110"/>
  <c r="E318" i="110"/>
  <c r="E317" i="110"/>
  <c r="E315" i="110"/>
  <c r="E314" i="110"/>
  <c r="E313" i="110"/>
  <c r="E312" i="110"/>
  <c r="E311" i="110"/>
  <c r="E310" i="110"/>
  <c r="E309" i="110"/>
  <c r="E162" i="110"/>
  <c r="E165" i="110"/>
  <c r="E164" i="110"/>
  <c r="E163" i="110"/>
  <c r="E168" i="110"/>
  <c r="E171" i="110"/>
  <c r="E170" i="110"/>
  <c r="E169" i="110"/>
  <c r="E131" i="110"/>
  <c r="E306" i="110"/>
  <c r="E305" i="110"/>
  <c r="E303" i="110"/>
  <c r="E302" i="110"/>
  <c r="E301" i="110"/>
  <c r="E299" i="110"/>
  <c r="E294" i="110"/>
  <c r="E293" i="110"/>
  <c r="E295" i="110"/>
  <c r="E296" i="110"/>
  <c r="E298" i="110"/>
  <c r="E300" i="110"/>
  <c r="E68" i="110"/>
  <c r="E65" i="110"/>
  <c r="E129" i="110"/>
  <c r="E128" i="110"/>
  <c r="E127" i="110"/>
  <c r="E126" i="110"/>
  <c r="E125" i="110"/>
  <c r="E124" i="110"/>
  <c r="E123" i="110"/>
  <c r="E122" i="110"/>
  <c r="E121" i="110"/>
  <c r="E120" i="110"/>
  <c r="E119" i="110"/>
  <c r="E108" i="110"/>
  <c r="E107" i="110"/>
  <c r="E105" i="110"/>
  <c r="E104" i="110"/>
  <c r="E103" i="110"/>
  <c r="E102" i="110"/>
  <c r="E101" i="110"/>
  <c r="E100" i="110"/>
  <c r="E99" i="110"/>
  <c r="E98" i="110"/>
  <c r="E97" i="110"/>
  <c r="E96" i="110"/>
  <c r="E90" i="110"/>
  <c r="E88" i="110"/>
  <c r="E94" i="110"/>
  <c r="E92" i="110"/>
  <c r="E112" i="110"/>
  <c r="E113" i="110"/>
  <c r="E114" i="110"/>
  <c r="E116" i="110"/>
  <c r="E115" i="110"/>
  <c r="E93" i="110"/>
  <c r="E85" i="110"/>
  <c r="E84" i="110"/>
  <c r="E83" i="110"/>
  <c r="E81" i="110"/>
  <c r="E80" i="110"/>
  <c r="E79" i="110"/>
  <c r="E75" i="110"/>
  <c r="E74" i="110"/>
  <c r="E67" i="110"/>
  <c r="E66" i="110"/>
  <c r="E60" i="110"/>
  <c r="E59" i="110"/>
  <c r="E73" i="110"/>
  <c r="E55" i="110"/>
  <c r="E63" i="110"/>
  <c r="E61" i="110"/>
  <c r="E58" i="110"/>
  <c r="E56" i="110"/>
  <c r="E54" i="110"/>
  <c r="E53" i="110"/>
  <c r="E91" i="110"/>
  <c r="E87" i="110"/>
  <c r="E89" i="110"/>
  <c r="E76" i="110"/>
  <c r="E43" i="110"/>
  <c r="E42" i="110"/>
  <c r="E38" i="110"/>
  <c r="E40" i="110"/>
  <c r="E39" i="110"/>
  <c r="E35" i="110"/>
  <c r="E34" i="110"/>
  <c r="E36" i="110"/>
  <c r="E32" i="110"/>
  <c r="E30" i="110"/>
  <c r="E31" i="110"/>
  <c r="A15" i="151"/>
  <c r="A16" i="151"/>
  <c r="A17" i="151"/>
  <c r="A18" i="151"/>
  <c r="A19" i="151"/>
  <c r="A20" i="151"/>
  <c r="A21" i="151"/>
  <c r="A22" i="151"/>
  <c r="A23" i="151"/>
  <c r="A24" i="151"/>
  <c r="A25" i="151"/>
  <c r="A26" i="151"/>
  <c r="A27" i="151"/>
  <c r="A28" i="151"/>
  <c r="A29" i="151"/>
  <c r="A31" i="151"/>
  <c r="A32" i="151"/>
  <c r="A33" i="151"/>
  <c r="A34" i="151"/>
  <c r="A35" i="151"/>
  <c r="A36" i="151"/>
  <c r="A37" i="151"/>
  <c r="A38" i="151"/>
  <c r="A39" i="151"/>
  <c r="A40" i="151"/>
  <c r="A41" i="151"/>
  <c r="A42" i="151"/>
  <c r="A43" i="151"/>
  <c r="A44" i="151"/>
  <c r="A45" i="151"/>
  <c r="A46" i="151"/>
  <c r="A47" i="151"/>
  <c r="A48" i="151"/>
  <c r="A49" i="151"/>
  <c r="A50" i="151"/>
  <c r="A51" i="151"/>
  <c r="A52" i="151"/>
  <c r="A53" i="151"/>
  <c r="A54" i="151"/>
  <c r="A55" i="151"/>
  <c r="A56" i="151"/>
  <c r="A57" i="151"/>
  <c r="A58" i="151"/>
  <c r="A59" i="151"/>
  <c r="A60" i="151"/>
  <c r="A61" i="151"/>
  <c r="A63" i="151"/>
  <c r="A64" i="151"/>
  <c r="A65" i="151"/>
  <c r="A66" i="151"/>
  <c r="A67" i="151"/>
  <c r="A68" i="151"/>
  <c r="A69" i="151"/>
  <c r="A70" i="151"/>
  <c r="A71" i="151"/>
  <c r="A72" i="151"/>
  <c r="A74" i="151"/>
  <c r="A75" i="151"/>
  <c r="A76" i="151"/>
  <c r="A77" i="151"/>
  <c r="A78" i="151"/>
  <c r="A79" i="151"/>
  <c r="A80" i="151"/>
  <c r="A82" i="151"/>
  <c r="A83" i="151"/>
  <c r="A84" i="151"/>
  <c r="A85" i="151"/>
  <c r="A86" i="151"/>
  <c r="A87" i="151"/>
  <c r="A88" i="151"/>
  <c r="A89" i="151"/>
  <c r="A90" i="151"/>
  <c r="A91" i="151"/>
  <c r="A92" i="151"/>
  <c r="A93" i="151"/>
  <c r="A94" i="151"/>
  <c r="A96" i="151"/>
  <c r="A97" i="151"/>
  <c r="A98" i="151"/>
  <c r="A99" i="151"/>
  <c r="A100" i="151"/>
  <c r="A101" i="151"/>
  <c r="A102" i="151"/>
  <c r="A103" i="151"/>
  <c r="A104" i="151"/>
  <c r="A105" i="151"/>
  <c r="A106" i="151"/>
  <c r="A108" i="151"/>
  <c r="A109" i="151"/>
  <c r="A110" i="151"/>
  <c r="A111" i="151"/>
  <c r="A112" i="151"/>
  <c r="A113" i="151"/>
  <c r="A114" i="151"/>
  <c r="A115" i="151"/>
  <c r="A116" i="151"/>
  <c r="A117" i="151"/>
  <c r="A118" i="151"/>
  <c r="A119" i="151"/>
  <c r="A120" i="151"/>
  <c r="A121" i="151"/>
  <c r="A122" i="151"/>
  <c r="A123" i="151"/>
  <c r="A125" i="151"/>
  <c r="A126" i="151"/>
  <c r="A127" i="151"/>
  <c r="A128" i="151"/>
  <c r="A129" i="151"/>
  <c r="A130" i="151"/>
  <c r="A131" i="151"/>
  <c r="A132" i="151"/>
  <c r="A133" i="151"/>
  <c r="A134" i="151"/>
  <c r="A135" i="151"/>
  <c r="A136" i="151"/>
  <c r="A138" i="151"/>
  <c r="A139" i="151"/>
  <c r="A140" i="151"/>
  <c r="A141" i="151"/>
  <c r="A142" i="151"/>
  <c r="A143" i="151"/>
  <c r="A144" i="151"/>
  <c r="A145" i="151"/>
  <c r="A146" i="151"/>
  <c r="A147" i="151"/>
  <c r="A148" i="151"/>
  <c r="A149" i="151"/>
  <c r="A150" i="151"/>
  <c r="A151" i="151"/>
  <c r="A153" i="151"/>
  <c r="A154" i="151"/>
  <c r="A155" i="151"/>
  <c r="A157" i="151"/>
  <c r="A158" i="151"/>
  <c r="A159" i="151"/>
  <c r="A160" i="151"/>
  <c r="A161" i="151"/>
  <c r="A162" i="151"/>
  <c r="A163" i="151"/>
  <c r="A164" i="151"/>
  <c r="A165" i="151"/>
  <c r="A166" i="151"/>
  <c r="A168" i="151"/>
  <c r="A169" i="151"/>
  <c r="A170" i="151"/>
  <c r="A171" i="151"/>
  <c r="A172" i="151"/>
  <c r="A173" i="151"/>
  <c r="A174" i="151"/>
  <c r="A175" i="151"/>
  <c r="A176" i="151"/>
  <c r="A177" i="151"/>
  <c r="A178" i="151"/>
  <c r="A180" i="151"/>
  <c r="A181" i="151"/>
  <c r="A182" i="151"/>
  <c r="A184" i="151"/>
  <c r="A185" i="151"/>
  <c r="A186" i="151"/>
  <c r="A187" i="151"/>
  <c r="A188" i="151"/>
  <c r="A189" i="151"/>
  <c r="A190" i="151"/>
  <c r="A191" i="151"/>
  <c r="A192" i="151"/>
  <c r="A193" i="151"/>
  <c r="A194" i="151"/>
  <c r="A195" i="151"/>
  <c r="A196" i="151"/>
  <c r="A197" i="151"/>
  <c r="A198" i="151"/>
  <c r="A199" i="151"/>
  <c r="A200" i="151"/>
  <c r="A201" i="151"/>
  <c r="A202" i="151"/>
  <c r="A204" i="151"/>
  <c r="A205" i="151"/>
  <c r="A206" i="151"/>
  <c r="A207" i="151"/>
  <c r="A208" i="151"/>
  <c r="A209" i="151"/>
  <c r="A210" i="151"/>
  <c r="A211" i="151"/>
  <c r="A212" i="151"/>
  <c r="A213" i="151"/>
  <c r="A214" i="151"/>
  <c r="A215" i="151"/>
  <c r="A216" i="151"/>
  <c r="A217" i="151"/>
  <c r="A218" i="151"/>
  <c r="A219" i="151"/>
  <c r="A220" i="151"/>
  <c r="A221" i="151"/>
  <c r="A222" i="151"/>
  <c r="A223" i="151"/>
  <c r="A224" i="151"/>
  <c r="A225" i="151"/>
  <c r="A226" i="151"/>
  <c r="A227" i="151"/>
  <c r="A228" i="151"/>
  <c r="A229" i="151"/>
  <c r="A230" i="151"/>
  <c r="A231" i="151"/>
  <c r="A232" i="151"/>
  <c r="A233" i="151"/>
  <c r="A234" i="151"/>
  <c r="A235" i="151"/>
  <c r="A236" i="151"/>
  <c r="A237" i="151"/>
  <c r="A238" i="151"/>
  <c r="A239" i="151"/>
  <c r="A240" i="151"/>
  <c r="A241" i="151"/>
  <c r="A242" i="151"/>
  <c r="A244" i="151"/>
  <c r="A245" i="151"/>
  <c r="A246" i="151"/>
  <c r="A247" i="151"/>
  <c r="A248" i="151"/>
  <c r="A249" i="151"/>
  <c r="A251" i="151"/>
  <c r="A252" i="151"/>
  <c r="A253" i="151"/>
  <c r="A254" i="151"/>
  <c r="A255" i="151"/>
  <c r="A256" i="151"/>
  <c r="A258" i="151"/>
  <c r="A259" i="151"/>
  <c r="A260" i="151"/>
  <c r="A261" i="151"/>
  <c r="A263" i="151"/>
  <c r="A264" i="151"/>
  <c r="A265" i="151"/>
  <c r="A266" i="151"/>
  <c r="A268" i="151"/>
  <c r="A269" i="151"/>
  <c r="A270" i="151"/>
  <c r="A271" i="151"/>
  <c r="A273" i="151"/>
  <c r="A274" i="151"/>
  <c r="A275" i="151"/>
  <c r="A276" i="151"/>
  <c r="A277" i="151"/>
  <c r="A279" i="151"/>
  <c r="A280" i="151"/>
  <c r="A281" i="151"/>
  <c r="A282" i="151"/>
  <c r="A283" i="151"/>
  <c r="A284" i="151"/>
  <c r="A285" i="151"/>
  <c r="A286" i="151"/>
  <c r="A287" i="151"/>
  <c r="A288" i="151"/>
  <c r="A289" i="151"/>
  <c r="A290" i="151"/>
  <c r="A292" i="151"/>
  <c r="A293" i="151"/>
  <c r="A294" i="151"/>
  <c r="A295" i="151"/>
  <c r="A297" i="151"/>
  <c r="A298" i="151"/>
  <c r="A299" i="151"/>
  <c r="A300" i="151"/>
  <c r="A302" i="151"/>
  <c r="A303" i="151"/>
  <c r="A304" i="151"/>
  <c r="A305" i="151"/>
  <c r="A306" i="151"/>
  <c r="A307" i="151"/>
  <c r="A308" i="151"/>
  <c r="A309" i="151"/>
  <c r="A310" i="151"/>
  <c r="A311" i="151"/>
  <c r="A312" i="151"/>
  <c r="A313" i="151"/>
  <c r="A314" i="151"/>
  <c r="A315" i="151"/>
  <c r="A316" i="151"/>
  <c r="A317" i="151"/>
  <c r="A318" i="151"/>
  <c r="A319" i="151"/>
  <c r="A321" i="151"/>
  <c r="A322" i="151"/>
  <c r="A323" i="151"/>
  <c r="A324" i="151"/>
  <c r="A325" i="151"/>
  <c r="A326" i="151"/>
  <c r="A327" i="151"/>
  <c r="A328" i="151"/>
  <c r="A329" i="151"/>
  <c r="A330" i="151"/>
  <c r="A331" i="151"/>
  <c r="A332" i="151"/>
  <c r="A333" i="151"/>
  <c r="A335" i="151"/>
  <c r="A336" i="151"/>
  <c r="A337" i="151"/>
  <c r="A338" i="151"/>
  <c r="A339" i="151"/>
  <c r="A340" i="151"/>
  <c r="A341" i="151"/>
  <c r="A342" i="151"/>
  <c r="A343" i="151"/>
  <c r="A344" i="151"/>
  <c r="A345" i="151"/>
  <c r="A346" i="151"/>
  <c r="A347" i="151"/>
  <c r="A348" i="151"/>
  <c r="A349" i="151"/>
  <c r="A350" i="151"/>
  <c r="A351" i="151"/>
  <c r="A352" i="151"/>
  <c r="A353" i="151"/>
  <c r="A354" i="151"/>
  <c r="A355" i="151"/>
  <c r="A356" i="151"/>
  <c r="A357" i="151"/>
  <c r="A358" i="151"/>
  <c r="E258" i="151"/>
  <c r="E340" i="151"/>
  <c r="E339" i="151"/>
  <c r="E338" i="151"/>
  <c r="E336" i="151"/>
  <c r="E333" i="151"/>
  <c r="E332" i="151"/>
  <c r="E330" i="151"/>
  <c r="E328" i="151"/>
  <c r="E326" i="151"/>
  <c r="E324" i="151"/>
  <c r="E322" i="151"/>
  <c r="E319" i="151"/>
  <c r="E318" i="151"/>
  <c r="E317" i="151"/>
  <c r="E316" i="151"/>
  <c r="E315" i="151"/>
  <c r="E313" i="151"/>
  <c r="E298" i="151"/>
  <c r="E300" i="151"/>
  <c r="E299" i="151"/>
  <c r="E311" i="151"/>
  <c r="E310" i="151"/>
  <c r="E309" i="151"/>
  <c r="E308" i="151"/>
  <c r="E307" i="151"/>
  <c r="E303" i="151"/>
  <c r="E305" i="151"/>
  <c r="E295" i="151"/>
  <c r="E294" i="151"/>
  <c r="E293" i="151"/>
  <c r="E279" i="151"/>
  <c r="E273" i="151"/>
  <c r="E268" i="151"/>
  <c r="E263" i="151"/>
  <c r="E239" i="151"/>
  <c r="E231" i="151"/>
  <c r="E229" i="151"/>
  <c r="E226" i="151"/>
  <c r="E224" i="151"/>
  <c r="E221" i="151"/>
  <c r="E216" i="151"/>
  <c r="E210" i="151"/>
  <c r="E204" i="151"/>
  <c r="E195" i="151"/>
  <c r="E184" i="151"/>
  <c r="E180" i="151"/>
  <c r="E171" i="151"/>
  <c r="E168" i="151"/>
  <c r="E138" i="151"/>
  <c r="E125" i="151"/>
  <c r="E108" i="151"/>
  <c r="E96" i="151"/>
  <c r="E84" i="151"/>
  <c r="E70" i="151"/>
  <c r="E69" i="151"/>
  <c r="E66" i="151"/>
  <c r="E65" i="151"/>
  <c r="E68" i="151"/>
  <c r="E64" i="151"/>
  <c r="E61" i="151"/>
  <c r="E60" i="151"/>
  <c r="E59" i="151"/>
  <c r="E57" i="151"/>
  <c r="E56" i="151"/>
  <c r="E54" i="151"/>
  <c r="E53" i="151"/>
  <c r="E51" i="151"/>
  <c r="E50" i="151"/>
  <c r="E48" i="151"/>
  <c r="E47" i="151"/>
  <c r="E45" i="151"/>
  <c r="E44" i="151"/>
  <c r="E42" i="151"/>
  <c r="E41" i="151"/>
  <c r="E39" i="151"/>
  <c r="E38" i="151"/>
  <c r="E36" i="151"/>
  <c r="E35" i="151"/>
  <c r="E33" i="151"/>
  <c r="E32" i="151"/>
  <c r="E29" i="151"/>
  <c r="E22" i="151"/>
  <c r="E19" i="151"/>
  <c r="E16" i="151"/>
  <c r="E23" i="151"/>
  <c r="E26" i="151"/>
  <c r="E24" i="151"/>
  <c r="E20" i="151"/>
  <c r="E14" i="151"/>
  <c r="E15" i="151"/>
  <c r="E17" i="151"/>
  <c r="E244" i="151"/>
  <c r="E117" i="110"/>
  <c r="E111" i="110"/>
  <c r="E110" i="110"/>
  <c r="E109" i="110"/>
  <c r="E304" i="110"/>
  <c r="E233" i="110"/>
  <c r="E231" i="110"/>
  <c r="E230" i="110"/>
  <c r="E228" i="110"/>
  <c r="E227" i="110"/>
  <c r="E226" i="110"/>
  <c r="E225" i="110"/>
  <c r="E223" i="110"/>
  <c r="E220" i="110"/>
  <c r="E217" i="110"/>
  <c r="E216" i="110"/>
  <c r="E215" i="110"/>
  <c r="E213" i="110"/>
  <c r="E218" i="110"/>
  <c r="E212" i="110"/>
  <c r="E211" i="110"/>
  <c r="E210" i="110"/>
  <c r="E205" i="110"/>
  <c r="E208" i="110"/>
  <c r="E206" i="110"/>
  <c r="E201" i="110"/>
  <c r="E200" i="110"/>
  <c r="E197" i="110"/>
  <c r="E192" i="110"/>
  <c r="E186" i="110"/>
  <c r="E195" i="110"/>
  <c r="E191" i="110"/>
  <c r="E190" i="110"/>
  <c r="E189" i="110"/>
  <c r="E185" i="110"/>
  <c r="E184" i="110"/>
  <c r="E183" i="110"/>
  <c r="E188" i="110"/>
  <c r="E182" i="110"/>
  <c r="E249" i="110"/>
  <c r="E263" i="110"/>
  <c r="A15" i="155"/>
  <c r="A16" i="155"/>
  <c r="A17" i="155"/>
  <c r="A18" i="155"/>
  <c r="A19" i="155"/>
  <c r="A20" i="155"/>
  <c r="A21" i="155"/>
  <c r="A22" i="155"/>
  <c r="A23" i="155"/>
  <c r="A24" i="155"/>
  <c r="A25" i="155"/>
  <c r="A26" i="155"/>
  <c r="A27" i="155"/>
  <c r="A28" i="155"/>
  <c r="A29" i="155"/>
  <c r="A30" i="155"/>
  <c r="A31" i="155"/>
  <c r="A32" i="155"/>
  <c r="A33" i="155"/>
  <c r="A34" i="155"/>
  <c r="A35" i="155"/>
  <c r="A36" i="155"/>
  <c r="A37" i="155"/>
  <c r="A38" i="155"/>
  <c r="A39" i="155"/>
  <c r="A40" i="155"/>
  <c r="A41" i="155"/>
  <c r="A42" i="155"/>
  <c r="A43" i="155"/>
  <c r="A44" i="155"/>
  <c r="A45" i="155"/>
  <c r="A46" i="155"/>
  <c r="A47" i="155"/>
  <c r="A48" i="155"/>
  <c r="A49" i="155"/>
  <c r="A50" i="155"/>
  <c r="A51" i="155"/>
  <c r="A52" i="155"/>
  <c r="A53" i="155"/>
  <c r="A54" i="155"/>
  <c r="A55" i="155"/>
  <c r="A56" i="155"/>
  <c r="A57" i="155"/>
  <c r="A58" i="155"/>
  <c r="A59" i="155"/>
  <c r="A60" i="155"/>
  <c r="A61" i="155"/>
  <c r="A62" i="155"/>
  <c r="A63" i="155"/>
  <c r="A64" i="155"/>
  <c r="A65" i="155"/>
  <c r="A66" i="155"/>
  <c r="A67" i="155"/>
  <c r="A68" i="155"/>
  <c r="A69" i="155"/>
  <c r="A70" i="155"/>
  <c r="A71" i="155"/>
  <c r="A72" i="155"/>
  <c r="A73" i="155"/>
  <c r="A74" i="155"/>
  <c r="A75" i="155"/>
  <c r="A76" i="155"/>
  <c r="A77" i="155"/>
  <c r="A78" i="155"/>
  <c r="A79" i="155"/>
  <c r="A80" i="155"/>
  <c r="A81" i="155"/>
  <c r="A83" i="155"/>
  <c r="A84" i="155"/>
  <c r="A85" i="155"/>
  <c r="A86" i="155"/>
  <c r="A87" i="155"/>
  <c r="A88" i="155"/>
  <c r="A89" i="155"/>
  <c r="A90" i="155"/>
  <c r="A91" i="155"/>
  <c r="A92" i="155"/>
  <c r="A93" i="155"/>
  <c r="A94" i="155"/>
  <c r="A95" i="155"/>
  <c r="A15" i="154"/>
  <c r="A16" i="154"/>
  <c r="A17" i="154"/>
  <c r="A18" i="154"/>
  <c r="A19" i="154"/>
  <c r="A20" i="154"/>
  <c r="A21" i="154"/>
  <c r="A22" i="154"/>
  <c r="A23" i="154"/>
  <c r="A24" i="154"/>
  <c r="A25" i="154"/>
  <c r="A26" i="154"/>
  <c r="A27" i="154"/>
  <c r="A28" i="154"/>
  <c r="A29" i="154"/>
  <c r="A30" i="154"/>
  <c r="A31" i="154"/>
  <c r="A32" i="154"/>
  <c r="A33" i="154"/>
  <c r="A34" i="154"/>
  <c r="A35" i="154"/>
  <c r="A36" i="154"/>
  <c r="A37" i="154"/>
  <c r="A38" i="154"/>
  <c r="A39" i="154"/>
  <c r="A40" i="154"/>
  <c r="A41" i="154"/>
  <c r="A42" i="154"/>
  <c r="A43" i="154"/>
  <c r="A48" i="154"/>
  <c r="A49" i="154"/>
  <c r="A50" i="154"/>
  <c r="A51" i="154"/>
  <c r="A52" i="154"/>
  <c r="A53" i="154"/>
  <c r="A54" i="154"/>
  <c r="A56" i="154"/>
  <c r="A57" i="154"/>
  <c r="A58" i="154"/>
  <c r="A59" i="154"/>
  <c r="A60" i="154"/>
  <c r="A61" i="154"/>
  <c r="A62" i="154"/>
  <c r="A63" i="154"/>
  <c r="A64" i="154"/>
  <c r="A65" i="154"/>
  <c r="A66" i="154"/>
  <c r="A67" i="154"/>
  <c r="A68" i="154"/>
  <c r="A69" i="154"/>
  <c r="A70" i="154"/>
  <c r="A71" i="154"/>
  <c r="A72" i="154"/>
  <c r="A73" i="154"/>
  <c r="A74" i="154"/>
  <c r="A75" i="154"/>
  <c r="A76" i="154"/>
  <c r="A77" i="154"/>
  <c r="A78" i="154"/>
  <c r="A79" i="154"/>
  <c r="A80" i="154"/>
  <c r="A81" i="154"/>
  <c r="A82" i="154"/>
  <c r="A83" i="154"/>
  <c r="A84" i="154"/>
  <c r="A85" i="154"/>
  <c r="A86" i="154"/>
  <c r="A87" i="154"/>
  <c r="A88" i="154"/>
  <c r="A89" i="154"/>
  <c r="A90" i="154"/>
  <c r="A91" i="154"/>
  <c r="A92" i="154"/>
  <c r="A93" i="154"/>
  <c r="A94" i="154"/>
  <c r="A95" i="154"/>
  <c r="A96" i="154"/>
  <c r="A97" i="154"/>
  <c r="A98" i="154"/>
  <c r="A99" i="154"/>
  <c r="A100" i="154"/>
  <c r="A101" i="154"/>
  <c r="A102" i="154"/>
  <c r="A103" i="154"/>
  <c r="A104" i="154"/>
  <c r="A106" i="154"/>
  <c r="A107" i="154"/>
  <c r="A108" i="154"/>
  <c r="A109" i="154"/>
  <c r="A110" i="154"/>
  <c r="A111" i="154"/>
  <c r="A112" i="154"/>
  <c r="A113" i="154"/>
  <c r="A114" i="154"/>
  <c r="A115" i="154"/>
  <c r="A116" i="154"/>
  <c r="A117" i="154"/>
  <c r="A118" i="154"/>
  <c r="A119" i="154"/>
  <c r="A120" i="154"/>
  <c r="A121" i="154"/>
  <c r="A122" i="154"/>
  <c r="A123" i="154"/>
  <c r="E245" i="110"/>
  <c r="E350" i="151"/>
  <c r="E341" i="151"/>
  <c r="E78" i="151"/>
  <c r="E76" i="151"/>
  <c r="E74" i="151"/>
  <c r="E336" i="110"/>
  <c r="E332" i="110"/>
  <c r="E330" i="110"/>
  <c r="A15" i="161"/>
  <c r="A17" i="161"/>
  <c r="A18" i="161"/>
  <c r="A19" i="161"/>
  <c r="A20" i="161"/>
  <c r="A21" i="161"/>
  <c r="A23" i="161"/>
  <c r="A24" i="161"/>
  <c r="A25" i="161"/>
  <c r="A26" i="161"/>
  <c r="A27" i="161"/>
  <c r="A28" i="161"/>
  <c r="A29" i="161"/>
  <c r="A30" i="161"/>
  <c r="A31" i="161"/>
  <c r="A32" i="161"/>
  <c r="A33" i="161"/>
  <c r="A34" i="161"/>
  <c r="A35" i="161"/>
  <c r="A36" i="161"/>
  <c r="A37" i="161"/>
  <c r="A39" i="161"/>
  <c r="A40" i="161"/>
  <c r="A41" i="161"/>
  <c r="A42" i="161"/>
  <c r="A43" i="161"/>
  <c r="A44" i="161"/>
  <c r="A45" i="161"/>
  <c r="A46" i="161"/>
  <c r="A47" i="161"/>
  <c r="A48" i="161"/>
  <c r="A49" i="161"/>
  <c r="A51" i="161"/>
  <c r="A52" i="161"/>
  <c r="A53" i="161"/>
  <c r="A54" i="161"/>
  <c r="A55" i="161"/>
  <c r="A56" i="161"/>
  <c r="A58" i="161"/>
  <c r="A59" i="161"/>
  <c r="A60" i="161"/>
  <c r="A62" i="161"/>
  <c r="A63" i="161"/>
  <c r="A64" i="161"/>
  <c r="A65" i="161"/>
  <c r="A66" i="161"/>
  <c r="A67" i="161"/>
  <c r="A68" i="161"/>
  <c r="A69" i="161"/>
  <c r="A70" i="161"/>
  <c r="A71" i="161"/>
  <c r="A72" i="161"/>
  <c r="A73" i="161"/>
  <c r="A74" i="161"/>
  <c r="A75" i="161"/>
  <c r="A77" i="161"/>
  <c r="A78" i="161"/>
  <c r="A79" i="161"/>
  <c r="A80" i="161"/>
  <c r="A81" i="161"/>
  <c r="A82" i="161"/>
  <c r="A83" i="161"/>
  <c r="A84" i="161"/>
  <c r="A85" i="161"/>
  <c r="A86" i="161"/>
  <c r="A87" i="161"/>
  <c r="A89" i="161"/>
  <c r="A90" i="161"/>
  <c r="A91" i="161"/>
  <c r="A92" i="161"/>
  <c r="A93" i="161"/>
  <c r="A94" i="161"/>
  <c r="E35" i="163"/>
  <c r="A15" i="163"/>
  <c r="A16" i="163"/>
  <c r="A17" i="163"/>
  <c r="A18" i="163"/>
  <c r="A19" i="163"/>
  <c r="A20" i="163"/>
  <c r="A21" i="163"/>
  <c r="A22" i="163"/>
  <c r="A23" i="163"/>
  <c r="A24" i="163"/>
  <c r="A25" i="163"/>
  <c r="A26" i="163"/>
  <c r="A27" i="163"/>
  <c r="A28" i="163"/>
  <c r="A29" i="163"/>
  <c r="A31" i="163"/>
  <c r="A32" i="163"/>
  <c r="A33" i="163"/>
  <c r="A34" i="163"/>
  <c r="A35" i="163"/>
  <c r="A36" i="163"/>
  <c r="A37" i="163"/>
  <c r="A38" i="163"/>
  <c r="A39" i="163"/>
  <c r="A40" i="163"/>
  <c r="A41" i="163"/>
  <c r="A42" i="163"/>
  <c r="A44" i="163"/>
  <c r="A45" i="163"/>
  <c r="A46" i="163"/>
  <c r="A47" i="163"/>
  <c r="A48" i="163"/>
  <c r="A49" i="163"/>
  <c r="A50" i="163"/>
  <c r="A51" i="163"/>
  <c r="A15" i="158"/>
  <c r="A17" i="158"/>
  <c r="A18" i="158"/>
  <c r="A19" i="158"/>
  <c r="A20" i="158"/>
  <c r="A22" i="158"/>
  <c r="A23" i="158"/>
  <c r="A24" i="158"/>
  <c r="A25" i="158"/>
  <c r="A26" i="158"/>
  <c r="A27" i="158"/>
  <c r="A28" i="158"/>
  <c r="A29" i="158"/>
  <c r="A30" i="158"/>
  <c r="A31" i="158"/>
  <c r="A32" i="158"/>
  <c r="A33" i="158"/>
  <c r="A34" i="158"/>
  <c r="A35" i="158"/>
  <c r="A36" i="158"/>
  <c r="A37" i="158"/>
  <c r="A38" i="158"/>
  <c r="A39" i="158"/>
  <c r="A40" i="158"/>
  <c r="A41" i="158"/>
  <c r="A42" i="158"/>
  <c r="A43" i="158"/>
  <c r="A45" i="158"/>
  <c r="A46" i="158"/>
  <c r="A47" i="158"/>
  <c r="A48" i="158"/>
  <c r="A49" i="158"/>
  <c r="A50" i="158"/>
  <c r="A51" i="158"/>
  <c r="A52" i="158"/>
  <c r="A53" i="158"/>
  <c r="A55" i="158"/>
  <c r="A57" i="158"/>
  <c r="A58" i="158"/>
  <c r="A59" i="158"/>
  <c r="A60" i="158"/>
  <c r="A61" i="158"/>
  <c r="A62" i="158"/>
  <c r="A63" i="158"/>
  <c r="A64" i="158"/>
  <c r="A65" i="158"/>
  <c r="A66" i="158"/>
  <c r="A67" i="158"/>
  <c r="A68" i="158"/>
  <c r="A69" i="158"/>
  <c r="A70" i="158"/>
  <c r="A15" i="153"/>
  <c r="A16" i="153"/>
  <c r="A17" i="153"/>
  <c r="A18" i="153"/>
  <c r="A19" i="153"/>
  <c r="A20" i="153"/>
  <c r="A21" i="153"/>
  <c r="A22" i="153"/>
  <c r="A23" i="153"/>
  <c r="A24" i="153"/>
  <c r="A25" i="153"/>
  <c r="A26" i="153"/>
  <c r="A27" i="153"/>
  <c r="A28" i="153"/>
  <c r="A29" i="153"/>
  <c r="A30" i="153"/>
  <c r="A31" i="153"/>
  <c r="A32" i="153"/>
  <c r="A33" i="153"/>
  <c r="A34" i="153"/>
  <c r="A35" i="153"/>
  <c r="A36" i="153"/>
  <c r="A37" i="153"/>
  <c r="A38" i="153"/>
  <c r="A39" i="153"/>
  <c r="A41" i="153"/>
  <c r="A42" i="153"/>
  <c r="A43" i="153"/>
  <c r="A44" i="153"/>
  <c r="A45" i="153"/>
  <c r="A47" i="153"/>
  <c r="A48" i="153"/>
  <c r="A49" i="153"/>
  <c r="A50" i="153"/>
  <c r="A51" i="153"/>
  <c r="A53" i="153"/>
  <c r="A54" i="153"/>
  <c r="A55" i="153"/>
  <c r="A56" i="153"/>
  <c r="A58" i="153"/>
  <c r="A59" i="153"/>
  <c r="A60" i="153"/>
  <c r="A61" i="153"/>
  <c r="A62" i="153"/>
  <c r="A63" i="153"/>
  <c r="A64" i="153"/>
  <c r="A65" i="153"/>
  <c r="A66" i="153"/>
  <c r="A67" i="153"/>
  <c r="A68" i="153"/>
  <c r="A69" i="153"/>
  <c r="A70" i="153"/>
  <c r="A71" i="153"/>
  <c r="A72" i="153"/>
  <c r="A73" i="153"/>
  <c r="A74" i="153"/>
  <c r="A75" i="153"/>
  <c r="A76" i="153"/>
  <c r="A77" i="153"/>
  <c r="A79" i="153"/>
  <c r="A80" i="153"/>
  <c r="A81" i="153"/>
  <c r="A82" i="153"/>
  <c r="A83" i="153"/>
  <c r="A85" i="153"/>
  <c r="A86" i="153"/>
  <c r="A87" i="153"/>
  <c r="A88" i="153"/>
  <c r="A89" i="153"/>
  <c r="A91" i="153"/>
  <c r="A92" i="153"/>
  <c r="A93" i="153"/>
  <c r="A94" i="153"/>
  <c r="A95" i="153"/>
  <c r="A96" i="153"/>
  <c r="A97" i="153"/>
  <c r="A98" i="153"/>
  <c r="A99" i="153"/>
  <c r="A100" i="153"/>
  <c r="A101" i="153"/>
  <c r="A102" i="153"/>
  <c r="A103" i="153"/>
  <c r="A104" i="153"/>
  <c r="A105" i="153"/>
  <c r="A106" i="153"/>
  <c r="A108" i="153"/>
  <c r="A109" i="153"/>
  <c r="A110" i="153"/>
  <c r="A111" i="153"/>
  <c r="A112" i="153"/>
  <c r="A113" i="153"/>
  <c r="A114" i="153"/>
  <c r="A115" i="153"/>
  <c r="A116" i="153"/>
  <c r="A117" i="153"/>
  <c r="A118" i="153"/>
  <c r="A119" i="153"/>
  <c r="A120" i="153"/>
  <c r="A122" i="153"/>
  <c r="A123" i="153"/>
  <c r="A124" i="153"/>
  <c r="A125" i="153"/>
  <c r="A126" i="153"/>
  <c r="A15" i="110"/>
  <c r="A16" i="110"/>
  <c r="A17" i="110"/>
  <c r="A18" i="110"/>
  <c r="A19" i="110"/>
  <c r="A20" i="110"/>
  <c r="A21" i="110"/>
  <c r="A22" i="110"/>
  <c r="A23" i="110"/>
  <c r="A24" i="110"/>
  <c r="A25" i="110"/>
  <c r="A27" i="110"/>
  <c r="A14" i="157"/>
  <c r="A15" i="157"/>
  <c r="A16" i="157"/>
  <c r="A17" i="157"/>
  <c r="A18" i="157"/>
  <c r="A19" i="157"/>
  <c r="A20" i="157"/>
  <c r="A21" i="157"/>
  <c r="A22" i="157"/>
  <c r="A23" i="157"/>
  <c r="A24" i="157"/>
  <c r="A25" i="157"/>
  <c r="A26" i="157"/>
  <c r="A27" i="157"/>
  <c r="A28" i="157"/>
  <c r="A29" i="157"/>
  <c r="A30" i="157"/>
  <c r="A31" i="157"/>
  <c r="A32" i="157"/>
  <c r="A33" i="157"/>
  <c r="A34" i="157"/>
  <c r="A35" i="157"/>
  <c r="A36" i="157"/>
  <c r="A37" i="157"/>
  <c r="A38" i="157"/>
  <c r="A40" i="157"/>
  <c r="A41" i="157"/>
  <c r="A42" i="157"/>
  <c r="A43" i="157"/>
  <c r="A44" i="157"/>
  <c r="A45" i="157"/>
  <c r="A47" i="157"/>
  <c r="A48" i="157"/>
  <c r="A49" i="157"/>
  <c r="A50" i="157"/>
  <c r="A51" i="157"/>
  <c r="A52" i="157"/>
  <c r="A53" i="157"/>
  <c r="A54" i="157"/>
  <c r="A55" i="157"/>
  <c r="A56" i="157"/>
  <c r="A58" i="157"/>
  <c r="A59" i="157"/>
  <c r="A60" i="157"/>
  <c r="A61" i="157"/>
  <c r="A62" i="157"/>
  <c r="A63" i="157"/>
  <c r="A64" i="157"/>
  <c r="A65" i="157"/>
  <c r="A66" i="157"/>
  <c r="A67" i="157"/>
  <c r="A68" i="157"/>
  <c r="A69" i="157"/>
  <c r="A70" i="157"/>
  <c r="A71" i="157"/>
  <c r="A72" i="157"/>
  <c r="A73" i="157"/>
  <c r="A74" i="157"/>
  <c r="A75" i="157"/>
  <c r="A76" i="157"/>
  <c r="A77" i="157"/>
  <c r="A78" i="157"/>
  <c r="A79" i="157"/>
  <c r="A81" i="157"/>
  <c r="A82" i="157"/>
  <c r="A83" i="157"/>
  <c r="A84" i="157"/>
  <c r="A85" i="157"/>
  <c r="A86" i="157"/>
  <c r="A87" i="157"/>
  <c r="A88" i="157"/>
  <c r="A89" i="157"/>
  <c r="A90" i="157"/>
  <c r="A91" i="157"/>
  <c r="A15" i="156"/>
  <c r="A17" i="156"/>
  <c r="A18" i="156"/>
  <c r="A19" i="156"/>
  <c r="A20" i="156"/>
  <c r="A21" i="156"/>
  <c r="A22" i="156"/>
  <c r="A23" i="156"/>
  <c r="A24" i="156"/>
  <c r="A25" i="156"/>
  <c r="A27" i="156"/>
  <c r="A28" i="156"/>
  <c r="A29" i="156"/>
  <c r="A30" i="156"/>
  <c r="A31" i="156"/>
  <c r="A33" i="156"/>
  <c r="A34" i="156"/>
  <c r="A35" i="156"/>
  <c r="A36" i="156"/>
  <c r="A37" i="156"/>
  <c r="A38" i="156"/>
  <c r="A39" i="156"/>
  <c r="A40" i="156"/>
  <c r="A41" i="156"/>
  <c r="A42" i="156"/>
  <c r="A43" i="156"/>
  <c r="A44" i="156"/>
  <c r="A45" i="156"/>
  <c r="A46" i="156"/>
  <c r="A47" i="156"/>
  <c r="A48" i="156"/>
  <c r="A49" i="156"/>
  <c r="A50" i="156"/>
  <c r="A51" i="156"/>
  <c r="A52" i="156"/>
  <c r="A53" i="156"/>
  <c r="A14" i="159"/>
  <c r="A15" i="159"/>
  <c r="A16" i="159"/>
  <c r="A17" i="159"/>
  <c r="A18" i="159"/>
  <c r="A19" i="159"/>
  <c r="A20" i="159"/>
  <c r="A22" i="159"/>
  <c r="A23" i="159"/>
  <c r="A25" i="159"/>
  <c r="A26" i="159"/>
  <c r="A27" i="159"/>
  <c r="A28" i="159"/>
  <c r="A29" i="159"/>
  <c r="A30" i="159"/>
  <c r="A31" i="159"/>
  <c r="A32" i="159"/>
  <c r="A33" i="159"/>
  <c r="A34" i="159"/>
  <c r="E37" i="161"/>
  <c r="E36" i="161"/>
  <c r="E35" i="161"/>
  <c r="E32" i="161"/>
  <c r="E31" i="161"/>
  <c r="E30" i="161"/>
  <c r="E27" i="161"/>
  <c r="E21" i="161"/>
  <c r="E20" i="161"/>
  <c r="E19" i="161"/>
  <c r="E18" i="161"/>
  <c r="E43" i="161"/>
  <c r="E42" i="161"/>
  <c r="E41" i="161"/>
  <c r="E49" i="161"/>
  <c r="E48" i="161"/>
  <c r="E47" i="161"/>
  <c r="E46" i="161"/>
  <c r="E45" i="161"/>
  <c r="E55" i="161"/>
  <c r="E54" i="161"/>
  <c r="E26" i="161"/>
  <c r="E25" i="161"/>
  <c r="E21" i="151"/>
  <c r="E25" i="151"/>
  <c r="E335" i="110"/>
  <c r="E202" i="110"/>
  <c r="E18" i="151"/>
</calcChain>
</file>

<file path=xl/sharedStrings.xml><?xml version="1.0" encoding="utf-8"?>
<sst xmlns="http://schemas.openxmlformats.org/spreadsheetml/2006/main" count="3578" uniqueCount="1242">
  <si>
    <t>Kopā:</t>
  </si>
  <si>
    <t>Mērvienība</t>
  </si>
  <si>
    <t>Daudzums</t>
  </si>
  <si>
    <t>Nr.p.k.</t>
  </si>
  <si>
    <t>Kods</t>
  </si>
  <si>
    <t>Vispārējie celtniecības darbi</t>
  </si>
  <si>
    <t>Būvdarbu nosaukums</t>
  </si>
  <si>
    <t>m2</t>
  </si>
  <si>
    <t>kpl</t>
  </si>
  <si>
    <t>m</t>
  </si>
  <si>
    <t>m3</t>
  </si>
  <si>
    <t>kg</t>
  </si>
  <si>
    <t>Tāme sastādīta 2018.gada tirgus cenās pamatojoties uz būvprojektu</t>
  </si>
  <si>
    <t>Būves nosaukums: Jahtotāju servisa ēkas jaunbūve</t>
  </si>
  <si>
    <t xml:space="preserve">Sastādīja: </t>
  </si>
  <si>
    <t>(Paraksts un tā atšifrējums, datums)</t>
  </si>
  <si>
    <t>Būvkonstrukcijas</t>
  </si>
  <si>
    <t>Tāme sastādīta 2018.gada 23.maijā</t>
  </si>
  <si>
    <t>Objekta adrese: Oastas iela 4, Salacgrīva, Salacgrīvas novads</t>
  </si>
  <si>
    <t>Objekta nosaukums: Jahtotāj servisa ēka</t>
  </si>
  <si>
    <t>Iekšējais ūdensvads un kanalizācija</t>
  </si>
  <si>
    <t>2018.gada __._____________</t>
  </si>
  <si>
    <t>Apkure</t>
  </si>
  <si>
    <t>Iekšējā elektroapgāde</t>
  </si>
  <si>
    <t>Vājstrāvas</t>
  </si>
  <si>
    <t>Ārējais ūdensvads un kanalizācija</t>
  </si>
  <si>
    <t>Ārējie elektrotīkli</t>
  </si>
  <si>
    <t>Labiekārtošana</t>
  </si>
  <si>
    <t>Lifta iekārtas</t>
  </si>
  <si>
    <t>Piebraucamie ceļi un laukumi</t>
  </si>
  <si>
    <t>Gājēju celiņi un laukumi</t>
  </si>
  <si>
    <t>Labiekārtojuma elementi</t>
  </si>
  <si>
    <t>Būvlaukuma iekārtošana</t>
  </si>
  <si>
    <t>Zemes darbi</t>
  </si>
  <si>
    <t>Stāvvieta (Nr.plānā 537)</t>
  </si>
  <si>
    <t>Darrbības zona (Nr.plānā 804)</t>
  </si>
  <si>
    <t>Stāvvietu nodalošā līnija (5m)</t>
  </si>
  <si>
    <t>Ceļazīmes stabs</t>
  </si>
  <si>
    <t>Betona ceļu apmaļu uzstādīšana</t>
  </si>
  <si>
    <t>betona ceļu apmale BR100.22.15.</t>
  </si>
  <si>
    <t>betons C12/15 (100mm)</t>
  </si>
  <si>
    <t>Betona ceļu apmaļu uzstādīšana guļus</t>
  </si>
  <si>
    <t>Ietvju apmaļu uzstādīšana</t>
  </si>
  <si>
    <t>betona apmale BR.100.20.8.</t>
  </si>
  <si>
    <t>betona apmale  (70 mm)</t>
  </si>
  <si>
    <t>Ēkas betona apmales izbūve ar deformācijas šuvju izveidošanu</t>
  </si>
  <si>
    <t>Betona bruģakmens seguma ierīkošana</t>
  </si>
  <si>
    <t>betona bruģakmens 148*148*810 (Decor 150") 33%</t>
  </si>
  <si>
    <t>minerālmateriālu maisījums 2/5 (50mm)</t>
  </si>
  <si>
    <t>Betona bruģakmens seguma ierīkošana brauktuvei</t>
  </si>
  <si>
    <t>betona bruģakmens 198*98*80</t>
  </si>
  <si>
    <t>minerālmateriālu maisījums 0/45 (250mm)</t>
  </si>
  <si>
    <t>minerālmateriālu maisījums 0/45 (150mm)</t>
  </si>
  <si>
    <t>Caļa zīmes</t>
  </si>
  <si>
    <t>Panduss</t>
  </si>
  <si>
    <t>Rievota betona seguma izbūve</t>
  </si>
  <si>
    <t>politilēta plēve (1,2mm)</t>
  </si>
  <si>
    <t>noblīvēta vidēji rupja smilts (g=1,65t/m3) (150mm)</t>
  </si>
  <si>
    <t>Zāliena ierīkošana (sēts)</t>
  </si>
  <si>
    <t>melnzeme</t>
  </si>
  <si>
    <t>zāliena sēklu maisījums "M/3 PARK"(SIA Latvijas šķirnes sēklas vai ekvivalents)</t>
  </si>
  <si>
    <t>politilēna plēve (1,2mm)</t>
  </si>
  <si>
    <t>minerālmateriālu maisījums 0/45 (100mm)</t>
  </si>
  <si>
    <t>drenējoša smilts, kf&gt;1m/dn (150mm)</t>
  </si>
  <si>
    <t>drenējoša smilts, kf&gt;1m/dn (200mm)</t>
  </si>
  <si>
    <t>drenējoša smilts, kf&gt;1m/dn (500mm)</t>
  </si>
  <si>
    <t>drenējoša smilts, kf&gt;1m/dn (300mm)</t>
  </si>
  <si>
    <t>Betona apmale</t>
  </si>
  <si>
    <t>Zālājs</t>
  </si>
  <si>
    <t>Apstādījumi</t>
  </si>
  <si>
    <t xml:space="preserve">Daiļais pīlādzis </t>
  </si>
  <si>
    <t xml:space="preserve">Tumšpurpusa sīpols </t>
  </si>
  <si>
    <t>Ķīnas miskante - Kleine Silberspinne</t>
  </si>
  <si>
    <t>Fasēna kaķmētra - Six Hills Giant</t>
  </si>
  <si>
    <t>Rīkstveida prosa - Hanse Herms</t>
  </si>
  <si>
    <t>Birztalu salvija, violetzili - Caradonna</t>
  </si>
  <si>
    <t>Birztalu salvija, rozā - Rose Queen</t>
  </si>
  <si>
    <t>Birztalu salvija, violetzila - Violet Queen</t>
  </si>
  <si>
    <t>Tieva stepjulīga - Pony Tails</t>
  </si>
  <si>
    <t xml:space="preserve">Auglīga melnzeme papildināta ar organisko mēslojumu </t>
  </si>
  <si>
    <t>Stādījumu mulčēšana</t>
  </si>
  <si>
    <t>priežu mizu mulča</t>
  </si>
  <si>
    <t>Iestādīto koku nostiprināšana</t>
  </si>
  <si>
    <t>imprignēti koka mieti, d=4-6cm, ar elastīgām atsaitēm</t>
  </si>
  <si>
    <t>l.c.</t>
  </si>
  <si>
    <t>Cauruļvadu un veidgabalu stiprinājumi</t>
  </si>
  <si>
    <t>Tīklu skalošana, dezinfekcija, hidrauliska parbaude</t>
  </si>
  <si>
    <t>Cauruļu un veidgabalu stiprinājumi</t>
  </si>
  <si>
    <t>Palīgmateriāli, stiprinājumi</t>
  </si>
  <si>
    <t>Veidgabali</t>
  </si>
  <si>
    <t>gab</t>
  </si>
  <si>
    <t>PE-Xc/Al/PE caurule ar veidgabaliem, OD20x2.25, PN10 (DN15), "Wavin" vai ekvivalenta</t>
  </si>
  <si>
    <t>PE-Xc/Al/PE caurule ar veidgabaliem, OD25x2.5, PN10 (DN20), "Wavin" vai ekvivalenta</t>
  </si>
  <si>
    <t>Lodveida ventilis, DN15, PN10</t>
  </si>
  <si>
    <t>Lodveida ventilis, DN20, PN10</t>
  </si>
  <si>
    <t>Lodveida ventilis, DN25, PN10</t>
  </si>
  <si>
    <t>Lodveida ventilis, DN50, PN10</t>
  </si>
  <si>
    <t>Lokanais savienojums, L=500, DN15</t>
  </si>
  <si>
    <t xml:space="preserve">Leņkventilis, DN15 </t>
  </si>
  <si>
    <t>Cauruļu izolācija, caurulei OD20x2.25, b=13mm</t>
  </si>
  <si>
    <t>Cauruļu izolācija, caurulei OD25x2.5, b=13mm</t>
  </si>
  <si>
    <t>Cauruļu izolācija, caurulei OD32x3.0, b=13mm</t>
  </si>
  <si>
    <t>Cauruļu izolācija, caurulei OD40x4.0, b=13mm</t>
  </si>
  <si>
    <t>Cauruļu izolācija, caurulei OD50x4.5, b=13mm</t>
  </si>
  <si>
    <t>Cauruļu izolācija, caurulei OD63x4.5, b=13mm</t>
  </si>
  <si>
    <t>Iztukšošanas krāns, DN15, PN10</t>
  </si>
  <si>
    <t>Aukstā ūdens skaitītājs, DN15</t>
  </si>
  <si>
    <t>Tērauda ūdensvada cauruļvads, DN15</t>
  </si>
  <si>
    <t>Lodveida ventilis, DN32</t>
  </si>
  <si>
    <t>Diametru pāreja, DN32/15</t>
  </si>
  <si>
    <t>Mehāniskais filtrs, DN32</t>
  </si>
  <si>
    <t>Lodveida ventilis, DN20</t>
  </si>
  <si>
    <t>Diametru pāreja, DN20/15</t>
  </si>
  <si>
    <t>Mehāniskais filtrs, DN20</t>
  </si>
  <si>
    <t>Lodveida ventilis, DN15</t>
  </si>
  <si>
    <t>Mehāniskais filtrs, DN15</t>
  </si>
  <si>
    <t>Cauruļu izolācija, caurulei OD20x2.25, b=20mm</t>
  </si>
  <si>
    <t>Cauruļu izolācija, caurulei OD25x2.5, b=20mm</t>
  </si>
  <si>
    <t>Cauruļu izolācija, caurulei OD32x3.0, b=20mm</t>
  </si>
  <si>
    <t>Termostatiskais jaucējvārsts, DN25</t>
  </si>
  <si>
    <t>Statiskais balansējošais vārsts, DN15</t>
  </si>
  <si>
    <t xml:space="preserve">Statiskais balansējošais vārsts, DN20 </t>
  </si>
  <si>
    <t xml:space="preserve">Leņķventilis, DN15 </t>
  </si>
  <si>
    <t>Karstā ūdens skaitītājs, DN15</t>
  </si>
  <si>
    <t>Lodveida ventilis, DN25</t>
  </si>
  <si>
    <t>Diametru pāreja, DN25/15</t>
  </si>
  <si>
    <t>Mehāniskais filtrs, DN25</t>
  </si>
  <si>
    <t>PVC kanalizācijas caurule ar veidgabaliem, OD50</t>
  </si>
  <si>
    <t>PVC kanalizācijas caurule ar veidgabaliem, OD110</t>
  </si>
  <si>
    <t>Revīzijas lūka, OD110</t>
  </si>
  <si>
    <t xml:space="preserve">Prettrokšņa un pretkondensāta izolācija, caurulei OD110, b=13mm </t>
  </si>
  <si>
    <t>Urināls, ar nosegtu ūdens pievadu, ar metāla pogu</t>
  </si>
  <si>
    <t>Dušas galva, Pie sienas stiprināma, antivandāla</t>
  </si>
  <si>
    <t>Iebūvējama dušas poga, nospiežama, telpā NR. 20,23</t>
  </si>
  <si>
    <t>Dušas jaucējkrāns, telpā Nr.15</t>
  </si>
  <si>
    <t>Apkalpošanasas lūka 400x400, piekārt. griestos telpā Nr.13 priekš ūdensmērītājiem</t>
  </si>
  <si>
    <t>Apkalpošanasas lūka, 400x400, sienā telpā Nr.21, 24 priekš ūdens sadales kolektoru</t>
  </si>
  <si>
    <t>Apkalpošanasas lūka 250x250, noslēgarmaturai un revīzijam</t>
  </si>
  <si>
    <t>PE-Xc/Al/PE caurule ar veidgabaliem, OD32x3.0, PN10 (DN25), "Wavin" vai ekvivalenta</t>
  </si>
  <si>
    <t>PE-Xc/Al/PE caurule ar veidgabaliem, OD40x4.0, PN10 (DN32), "Wavin" vai ekvivalenta</t>
  </si>
  <si>
    <t>PE-Xc/Al/PE caurule ar veidgabaliem, OD50x4.5, PN10 (DN40), "Wavin" vai ekvivalenta</t>
  </si>
  <si>
    <t>PE-Xc/Al/PE caurule ar veidgabaliem, OD63x6,0, PN10 (DN50), "Wavin" vai ekvivalenta</t>
  </si>
  <si>
    <t>PE caurule ar veidgabaliem, OD63x3.8, PN10 (DN50), ievads</t>
  </si>
  <si>
    <t>Pretvārsts, DN25, PN10, pie termostat. Jaucējvārsta</t>
  </si>
  <si>
    <t>Laistāmais krāns dn15 ar šļūteni  L=30m, iekšējais, DN15, L.Kr. 2; 4</t>
  </si>
  <si>
    <t>Laistāmais krāns neaizsalstošs ar šļūteni L=20m (ārējais), DN15, L.Kr. 1; 3</t>
  </si>
  <si>
    <t>Bituma hidroizolācijas membrāna, HL800(P)/ 63-75, uz ievada</t>
  </si>
  <si>
    <t>Pretvārsts, DN20, PN10, katlu telpā</t>
  </si>
  <si>
    <t>Pretvārsts, DN25, PN10, katlu telpā</t>
  </si>
  <si>
    <t>Sadalītājs - kolektors, ar divpusēju savienojumu, ar 4 atzarojumiem, DN25,DN25 - 4xDN15</t>
  </si>
  <si>
    <t>PVC kanalizācijas caurule ar veidgabaliem, OD110, stāvvadi</t>
  </si>
  <si>
    <t xml:space="preserve">Plastmasas spiedvada caurules, OD40(DN32), spiedvads </t>
  </si>
  <si>
    <t>Kessel - Minilift- sūknētava ar resti H=6.2m,N=0.3kW, telpa Nr.3 pagrabstāvā</t>
  </si>
  <si>
    <t>Ventilis, DN32, spiedvadā</t>
  </si>
  <si>
    <t>Dušas tekne L=0.50m, izvads OD50, izmērs precizēt ar arhitektu un pasūtītāju</t>
  </si>
  <si>
    <t>Dušas tekne L=0.70m, izvads OD50, izmērs precizēt ar arhitektu un pasūtītāju</t>
  </si>
  <si>
    <t xml:space="preserve">Plastmasas traps, OD50, telpa 17 </t>
  </si>
  <si>
    <t xml:space="preserve">Plastmasas traps, OD110 ,telpa 11 </t>
  </si>
  <si>
    <t>Bituma hidroizolācijas membrāna, HL800(P)/ 110, uz izlaides caurļvada</t>
  </si>
  <si>
    <t>PE EM veidgabali:</t>
  </si>
  <si>
    <t>Rupjgraudaina smilts, cauruļvadu pabērumam un apbērumam</t>
  </si>
  <si>
    <t>Pievienojums pie esošiem tīkliem</t>
  </si>
  <si>
    <t>vietas</t>
  </si>
  <si>
    <t xml:space="preserve">Gruntsūdens līmeņa pazemināšana </t>
  </si>
  <si>
    <t>U1 cauruļvadu skalošana, dezinfekcija un hidrauliskā pārbaude pēc izbūves</t>
  </si>
  <si>
    <t>Pieslēguma vieta pie esošā tīkla (akā)</t>
  </si>
  <si>
    <t>K1 cauruļvadu skalošana pēc izbūves</t>
  </si>
  <si>
    <t>K1 cauruļvadu pārbaude ar CCTV inspekciju pēc izbūves</t>
  </si>
  <si>
    <t>Elektrība, ZSP</t>
  </si>
  <si>
    <t>Zālāja seguma demontāža</t>
  </si>
  <si>
    <t>Zālāja seguma atjaunošana</t>
  </si>
  <si>
    <t>Asfalta seguma demontāža</t>
  </si>
  <si>
    <t>Asfalta seguma atjaunošana</t>
  </si>
  <si>
    <t>Esošās grunts nomaiņa zem ielas seguma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</si>
  <si>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</si>
  <si>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</si>
  <si>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</si>
  <si>
    <t>PE ūdensvada caurule ar veidgabaliem,  OD 63, PN10</t>
  </si>
  <si>
    <t>PE ūdensvada caurule ar veidgabaliem, OD110, PN10</t>
  </si>
  <si>
    <t>Līkums 45°, OD63</t>
  </si>
  <si>
    <t>Līkums 40°, OD63</t>
  </si>
  <si>
    <t>Līkums 27°, OD63</t>
  </si>
  <si>
    <r>
      <t>Komercuzskaites mēraparāts daudzstrūklas tipa (Qnom.=2.5m³</t>
    </r>
    <r>
      <rPr>
        <sz val="11.5"/>
        <rFont val="Times New Roman"/>
        <family val="1"/>
        <charset val="186"/>
      </rPr>
      <t>/st), DN20</t>
    </r>
    <r>
      <rPr>
        <sz val="10"/>
        <rFont val="Times New Roman"/>
        <family val="1"/>
        <charset val="186"/>
      </rPr>
      <t xml:space="preserve"> </t>
    </r>
  </si>
  <si>
    <t>Tērauda uzmavu pāreja, PE x tērauds, OD63/DN50</t>
  </si>
  <si>
    <t>Tērauda diametru pāreja, DN50/20</t>
  </si>
  <si>
    <r>
      <t>Vītņu līkums, 90</t>
    </r>
    <r>
      <rPr>
        <vertAlign val="superscript"/>
        <sz val="10"/>
        <rFont val="Times New Roman"/>
        <family val="1"/>
        <charset val="186"/>
      </rPr>
      <t>o, DN20</t>
    </r>
  </si>
  <si>
    <t>Tukšošanas krāns, DN15</t>
  </si>
  <si>
    <t>Vītņu trejgabals, DN20/15</t>
  </si>
  <si>
    <t>Nerūsējošā tērauda caurule, DN20</t>
  </si>
  <si>
    <t>Betona balsts, 2 vietas</t>
  </si>
  <si>
    <t>PE līkums 90° elektrometināms, OD63</t>
  </si>
  <si>
    <t xml:space="preserve">Aka no saliek. dz/bet. elem.; H līdz 2,5m ar REXEL tipa vāku no kaļamā  ķeta 400 kN, lūku un pamatni, kāpšļiem, ar hidroizolāciju visā augstumā, DN1000 </t>
  </si>
  <si>
    <t>Ķeta atloku trejgabals, DN100x50</t>
  </si>
  <si>
    <t>Universāls adapteris, DN100</t>
  </si>
  <si>
    <t>Atloku aizbīnis, DN50</t>
  </si>
  <si>
    <t>Universāls adapteris, DN50</t>
  </si>
  <si>
    <t>Aizsargčaula, caurulei D100</t>
  </si>
  <si>
    <t>Aizsargčaula, caurulei OD63</t>
  </si>
  <si>
    <t>Betona atbalsts, 1 vieta</t>
  </si>
  <si>
    <t>PP monolītsienu pašteces kanalizācijas caurule ar veidgabaliem, OD160, SN8</t>
  </si>
  <si>
    <t>Plastmasas aka, komplektā ar ķeta rāmi un apaļu vāku iestrādei bruģa segumā, 400 kN, iebūves dziļumā H līdz 1.50 m, D400</t>
  </si>
  <si>
    <t xml:space="preserve">Aka no saliek. dz/bet. elem.; H līdz 2,00m ar REXEL tipa vāku no kaļamā  ķeta 250 kN, lūku un pamatni, kāpšļiem, ar hidroizolāciju visā augstumā, D1000 </t>
  </si>
  <si>
    <t>Aizsargčaula, caurulei OD160, dz.bet. Akās</t>
  </si>
  <si>
    <t>Kabeļi, caurules</t>
  </si>
  <si>
    <t>Kabelis AXMK-1-4x70</t>
  </si>
  <si>
    <t>Kabelis NYY-J-5x4</t>
  </si>
  <si>
    <t>Caurule PE50, 750N</t>
  </si>
  <si>
    <t>Caurule PE50, 450N</t>
  </si>
  <si>
    <t>Caurule PE110, 750N</t>
  </si>
  <si>
    <t>Caurule PE110, 450N</t>
  </si>
  <si>
    <t>Palīgmateriāli</t>
  </si>
  <si>
    <t>Apgaismojumu armatūra</t>
  </si>
  <si>
    <t>Zibensaizsardzība, zemējuma kontūrs</t>
  </si>
  <si>
    <t>Al stieple, d=8mm</t>
  </si>
  <si>
    <t>Izolēta Al stieple, d=8mm, vertikālais novadītājs</t>
  </si>
  <si>
    <t xml:space="preserve">Zibensuztveršanas masts isFang, h=6.5m, komplektā ar statni un betona pamatni </t>
  </si>
  <si>
    <t xml:space="preserve">Pārbaudes-mērījumu spailes </t>
  </si>
  <si>
    <t>Stiprinājuma elementi uz jumta. Tipu precizēt būvniecības laikā pēc jumta tipa</t>
  </si>
  <si>
    <t>Vertikāla zibensnovadītāja stiprinājums pie sienas. Tipu precizēt būvniecības laikā</t>
  </si>
  <si>
    <t>Plakandzelzs stiprinājumi pie sienas</t>
  </si>
  <si>
    <t>Cinkota plakandzelzs 30x3.5mm</t>
  </si>
  <si>
    <t>Zemējuma elektrods, d=20mm, h=6.0m</t>
  </si>
  <si>
    <t xml:space="preserve">gab </t>
  </si>
  <si>
    <t>Betona pamats apgaismes stabam</t>
  </si>
  <si>
    <t>Sadalnes</t>
  </si>
  <si>
    <t>Elektroapgādes metāla sadalne SS-1, v/a, IP40, aizslēdzama</t>
  </si>
  <si>
    <t>Ekvipotenciāla kopne</t>
  </si>
  <si>
    <t>Apgaismojuma armatūra, slēdži</t>
  </si>
  <si>
    <t>Gaismeklis ar evakuācijas virziena norādi, LED, 5W, IP20, ak.bat. 1H vai analogs</t>
  </si>
  <si>
    <t>1 polu slēdzis, z/a, IP20, 10A</t>
  </si>
  <si>
    <t>1 polu slēdzis, v/a, IP20, 10A</t>
  </si>
  <si>
    <t>2 polu slēdzis, z/a, IP20, 16A</t>
  </si>
  <si>
    <t>1 polu slēdzis, v/a, IP44, 10A</t>
  </si>
  <si>
    <t>1 polu 2 grupu slēdzis, z/a, IP20, 10A</t>
  </si>
  <si>
    <t>Pārslēdzis, z/a, IP20, 10A</t>
  </si>
  <si>
    <t>Sienas kontaktligzdas</t>
  </si>
  <si>
    <t>Kontaktligzda ar zemējumu, IP20, z/a, 16A</t>
  </si>
  <si>
    <t>Kontaktligzda ar zemējumu, IP20, v/a, 16A</t>
  </si>
  <si>
    <t>Kontaktligzda ar zemējumu, IP44, z/a, 16A</t>
  </si>
  <si>
    <t>Kontaktligzda ar zemējumu, IP44, v/a, 16A</t>
  </si>
  <si>
    <t>Kabeļi, caurules, kabeļu trepe</t>
  </si>
  <si>
    <t>Kabelis ar vara dzīslām, NHXH-FE 180/E 90min 3x1.5</t>
  </si>
  <si>
    <t>Kabelis ar vara dzīslām, PPJ-3x1.5,mm2</t>
  </si>
  <si>
    <t>Kabelis ar vara dzīslām, PPJ-3x2.5,mm2</t>
  </si>
  <si>
    <t>Kabelis ar vara dzīslām, PPJ-5x1.5,mm2</t>
  </si>
  <si>
    <t>Kabelis ar vara dzīslām, PPJ-5x2.5,mm2</t>
  </si>
  <si>
    <t>Kabelis ar vara dzīslām, 2x2.5mm2</t>
  </si>
  <si>
    <t>Kabelis ar vara dzīslām, NYY-J-2x1.5mm2</t>
  </si>
  <si>
    <t>Zemēšanas vads Cu-1x6mm2</t>
  </si>
  <si>
    <t>Zemēšanas vads Cu-1x16mm2</t>
  </si>
  <si>
    <t>Zemēšanas vads Cu-1x50mm2</t>
  </si>
  <si>
    <t>Caurule PVH25</t>
  </si>
  <si>
    <t>Caurule PVH40</t>
  </si>
  <si>
    <t>Caurumu un atvērumu urbšana</t>
  </si>
  <si>
    <t>Ugunsdrošā aizpildījuma mastika</t>
  </si>
  <si>
    <t>Plastmasas savilcēji kabeļu stiprināšanai pie kabeļtrepes</t>
  </si>
  <si>
    <t>Montāžas palīgmateriāli un metāla konstrukcijas.</t>
  </si>
  <si>
    <t>Montāžas kārba IP20. Daudzumu precizēt montāžas laikā</t>
  </si>
  <si>
    <t>Nozarkārba, z/a. Daudzumu precizēt montāžas laikā</t>
  </si>
  <si>
    <t>Nozarkārba, v/a. Daudzumu precizēt montāžas laikā</t>
  </si>
  <si>
    <t>Sienas skapis 19”ar metāla durvīm 18U</t>
  </si>
  <si>
    <t>Sienas skapis 19”ar metāla durvīm 9 U</t>
  </si>
  <si>
    <t>Ventilācijas panelis ar diviem ventilatoriem</t>
  </si>
  <si>
    <t>Ventilatora panelis ar vienu ventilatoru</t>
  </si>
  <si>
    <t>Termostats ventilatoriem</t>
  </si>
  <si>
    <t>Elektrības sadalītājs ar 6 rozetēm, 19”, 1U</t>
  </si>
  <si>
    <t>Zemējuma komplekts</t>
  </si>
  <si>
    <t>Kabeļu organizatori 1U horizontālie</t>
  </si>
  <si>
    <t>Komutācijas paneļi 24xRJ45 CAT.6</t>
  </si>
  <si>
    <t>Optiskais komutācijas panelis 4 portiem</t>
  </si>
  <si>
    <t>Nepārtraukts barošanas avots, 1,8kW, 1F, 30 min</t>
  </si>
  <si>
    <t>Nepārtraukts barošanas avots, 0.8kW, 1F, 30 min</t>
  </si>
  <si>
    <t>Caurules 16...32mm</t>
  </si>
  <si>
    <t xml:space="preserve">m </t>
  </si>
  <si>
    <t>Caurules 50mm</t>
  </si>
  <si>
    <t>Montāžas piederumi (savilces, stiprinājumi, skrūves utt.)</t>
  </si>
  <si>
    <t>Kabeļu marķējums</t>
  </si>
  <si>
    <t>Tīkla mērījumi</t>
  </si>
  <si>
    <t>Kabelis JY(St) Y 2x2x0,6</t>
  </si>
  <si>
    <t>Spraudnis RJ-45</t>
  </si>
  <si>
    <t>Kabelis 4x2x0,5, 5e kat.</t>
  </si>
  <si>
    <t>Magnētiskais kontaktu slēdzis</t>
  </si>
  <si>
    <t>Slēdzene</t>
  </si>
  <si>
    <t>Barošanas bloks12V, 1,4A</t>
  </si>
  <si>
    <t>Kabelis 2(4x0,5)+0,5</t>
  </si>
  <si>
    <t>Signalizācijas kabelis 6x0,22</t>
  </si>
  <si>
    <t>Kabelis 2x0,5+S</t>
  </si>
  <si>
    <t>Barošanas bloks (12V; 1,4A)+ kaste</t>
  </si>
  <si>
    <t>Programmnodrošinājums</t>
  </si>
  <si>
    <t>Sirēnas</t>
  </si>
  <si>
    <t>Elektroniskais durvju atvērējs( electric door opener)</t>
  </si>
  <si>
    <t>Kabelis CAT 5 e 2x2x0,5 AWG22</t>
  </si>
  <si>
    <t>Kabelis H03VV-F 2x1,5</t>
  </si>
  <si>
    <t>Piekļuves līmeņa komutators ar PoE+SFP, Cisco Catalyst 2960-x+2SFP, PoE, vai ekvivalents</t>
  </si>
  <si>
    <t>Dubultās kontaktrozetes( montāžai grīdas kārbā vai mebelēs), 2xRJ45 (CAT.6)</t>
  </si>
  <si>
    <t>Dubultās kontaktrozetes (montāžai pie sienas), 2xRJ45 (CAT.6), 6 rezervē</t>
  </si>
  <si>
    <t>WiFi bezvadu pieslēguma punkts BbcAPGi-5acD2nD ar PoE barošanu, Mikrotik, vai ekvivalents</t>
  </si>
  <si>
    <t xml:space="preserve">Komutācijas vadi, CAT.6, UTP, RJ45-RJ45 </t>
  </si>
  <si>
    <t xml:space="preserve">Telekomunikācijas tīkla kabelis, U/UTP-4x2x0.5(CAT.6) </t>
  </si>
  <si>
    <t xml:space="preserve">Optiskais kabelis, SM 4x9/125 </t>
  </si>
  <si>
    <t>Invalīdu tualetes trauksmes pogu vadības bloks, CFEASL4, vai ekvivalents</t>
  </si>
  <si>
    <t>Trauksmes pogas barošanas bloks, CFEAPSU, vai ekvivalents</t>
  </si>
  <si>
    <t>Trauksmes pogu komplekts invalīdu tualetēs, CFVCEA, vai ekvivalents</t>
  </si>
  <si>
    <t>Paplašinātāja modulis 16 ieejas zonas, metāliskā korpusā 300x220x75, barošanas bloks 12V DC, 1,4A- akumulatora uzlāde, FS9216/2</t>
  </si>
  <si>
    <t>Paplašinātāja modulis 16 ieejas zonas, metāliskā korpusā 300x220x75, barošanas bloks 12V DC, 1,4A- akumulatora uzlāde, FS9108/2</t>
  </si>
  <si>
    <t xml:space="preserve">Lifta kontrolieris, FS6300 IO/8 </t>
  </si>
  <si>
    <t>Sistēmas elektrobarožanas bloks 230V, 50-60 Hz, URMET</t>
  </si>
  <si>
    <t>Infrasarkanie staru kustības sensori , 1 rezervē</t>
  </si>
  <si>
    <t>Kombinētie stikla plīšanas un infrasarkanie kustības sensori, 1 rezervē</t>
  </si>
  <si>
    <t>Koda identifikācijas ierīces, skaitu precizēt ar Pasūtītāju</t>
  </si>
  <si>
    <t>Videokamera 360g tipa kameras iekštelpu ar stiprinājumiem, DS-2CD2955FWD-I(S), vai ekvivalents</t>
  </si>
  <si>
    <t>Videokamera box tipa ārtelpu un iekštelpu  ar stiprinājumiem, DS-2CD2T35FWD-I5/I8, vai ekvivalents</t>
  </si>
  <si>
    <t>FoxSec Net+ sistēmas centrālā iekārta, vai ekvivalents</t>
  </si>
  <si>
    <t>PK durvju kontrolieris (1 durvīm, 2 nolasītāji), FS7301PX, vai ekvivalents</t>
  </si>
  <si>
    <t>Datu tīklu sistēma</t>
  </si>
  <si>
    <r>
      <t>Kabelis 3x1,5mm</t>
    </r>
    <r>
      <rPr>
        <vertAlign val="superscript"/>
        <sz val="10"/>
        <color indexed="8"/>
        <rFont val="Times New Roman"/>
        <family val="1"/>
        <charset val="186"/>
      </rPr>
      <t>2</t>
    </r>
  </si>
  <si>
    <t>WC trauksmes sistēma</t>
  </si>
  <si>
    <t>Videonovērošanas sistēma</t>
  </si>
  <si>
    <t>Apsardzes signalizācijas sistēma</t>
  </si>
  <si>
    <t>Domofona sistēma</t>
  </si>
  <si>
    <t>Palīgmateriāli (caurules, savienotāji, stiprinājumi montāžas kārbas, skrūves, skavas, un citi montāžai nepieciešamie izstrādājumi)</t>
  </si>
  <si>
    <t>Ugunsgrēka atklāšana un trauksmes signalizācijas sistēma</t>
  </si>
  <si>
    <t>Akumulatoru baterijas skapis ar akumulatoriem:</t>
  </si>
  <si>
    <t>Kabelis DB9 9p Sub-D M/M</t>
  </si>
  <si>
    <t>Palīgmateriāli (skrūves, skavas un citi montāžai nepieciešamie izstrādājumi)</t>
  </si>
  <si>
    <t>Detektori un moduļi</t>
  </si>
  <si>
    <t>Adresācijas kartes EAC/ Address card</t>
  </si>
  <si>
    <t>Kabeļi un cauruļu sistēmas</t>
  </si>
  <si>
    <t>Kabelis 4x1,0 (E30)</t>
  </si>
  <si>
    <t>Plasmasa caurules d=16...32mm</t>
  </si>
  <si>
    <t>Plasmasa caurules d=50mm</t>
  </si>
  <si>
    <t>Ugunsdrošs aizpildījums</t>
  </si>
  <si>
    <t>Ugunsgrēka signalizācijas sistēma</t>
  </si>
  <si>
    <t>UAS adreses/analogās cilpas labelis (E30), JE-H(St)H E30-1x2x0,8+0.8mm²</t>
  </si>
  <si>
    <t>Iekārtu vadības un atslēgšanas kabelis(E30), JE-H(St)H E30-1x2x1,5mm²</t>
  </si>
  <si>
    <t>Vītā pāra kabelis, U/UTP-4x2x0,5 (Cat.6)</t>
  </si>
  <si>
    <t>Ugunsgrēka signalizācijas sirēma ārējā, barošana 24V, EN54-3, PSC-001</t>
  </si>
  <si>
    <t>Detektoru bāze, EBI-12</t>
  </si>
  <si>
    <t>akumulatoru baterijas 12V/17Ah</t>
  </si>
  <si>
    <t>ugunsgrēka signalizācijas skapis, FX/AX/IX-BAT</t>
  </si>
  <si>
    <t>akumulatoru baterijas, 12V/17Ah</t>
  </si>
  <si>
    <t xml:space="preserve">barošanas avots, nodrošina akumulatori, </t>
  </si>
  <si>
    <t xml:space="preserve">galvenais sistēmas kontrolieris, </t>
  </si>
  <si>
    <t>Ugunsgrēka dūmu optiskais detektors, adreses sistēmas, EDI-20, 5 gab (rezervē 10%)</t>
  </si>
  <si>
    <t>Ugunsgrēka detektors+iznesamais indikators, EDI-20, 3 gab (rezervē 10%)</t>
  </si>
  <si>
    <t>Ugunsgrēka dūmu optiskais detektors, adreses sistēmas ar izolatora detektora bāzi, EDI-20, 2 gab (rezervē 10%)</t>
  </si>
  <si>
    <t xml:space="preserve">Ugunsgrēka temperatūras izmaiņas detektors, EDI-50, 1 gab (rezervē 10%) </t>
  </si>
  <si>
    <t>Ugunsgrēka signālpoga, adresējama, ar īsslēguma izolatoru, EPP-20A, 1 gab (rezervē 10%)</t>
  </si>
  <si>
    <t>Ugunsgrēka signālpogas montāžas kārba, SR2G, 1 gab (rezervē 10%)</t>
  </si>
  <si>
    <t>Adrešu detektoru pamatne ar sirēnu un strobu (iekštelpu), ESI-60, 1 gab (rezervē 10%)</t>
  </si>
  <si>
    <t>Diožu indikators pamatgriestos vai uz sienas 12mA, IP20, 87x43x30, 3 gab (rezervē 10%)</t>
  </si>
  <si>
    <t>Vadības(releja) modulis ar īsslēguma izolatoru+ montāžas bāze, EMI-311, 1 gab (rezervē 10%)</t>
  </si>
  <si>
    <t>Būvniecības objekta izkārtnes izgatavošana, uzstādīšana</t>
  </si>
  <si>
    <t>Norobezojoša necaurredzama būvžoga montāža un demontāža. Žogs aizklāts ar apdrukātu plēvi. H=2.0m. Garums 77m</t>
  </si>
  <si>
    <t>mēn.</t>
  </si>
  <si>
    <t>Biotualetes montāža, demontāža</t>
  </si>
  <si>
    <t>Pagaidu elektrības pieslēguma izveidošana un elektrības skaitītāju uzstādīšana pieslēguma vietās</t>
  </si>
  <si>
    <t>Pagaidu ūdens pieslēguma izveidošana un ūdens skaitītāju uzstādīšana pieslēguma vietās</t>
  </si>
  <si>
    <t>Pacēlāja montāža un demontāža</t>
  </si>
  <si>
    <t>Būvlaukuma apsardze</t>
  </si>
  <si>
    <t>Sastatņu montāža un demontāža. Sastatnes ar apdrukātu drošības sietu vai plēvi h=8m. Garums 74t.m. Kopā 592m2</t>
  </si>
  <si>
    <t>Metāla konteinera inventāram l=3m uzstādīšana ar autoceltni; noma 8 mēm</t>
  </si>
  <si>
    <t>pacēlāja noma</t>
  </si>
  <si>
    <t>sastatņu noma</t>
  </si>
  <si>
    <t>biotualetes noma, apkalpošana</t>
  </si>
  <si>
    <t>Metāla konteinera  l=6-10 m ģērbtuvēm, birojam uzstādīšana ar autoceltni; noma 8 mēm</t>
  </si>
  <si>
    <t>Metāla konteinera apsardzei l=3m uzstādīšana ar autoceltni; noma 8 mēm</t>
  </si>
  <si>
    <t>Horizontālais merķējums (Nr.plānā 942)</t>
  </si>
  <si>
    <t>Cietais disks video ieraksta ierīcem 4 Tb, WD 4Tb Green Power, vai ekvivalents</t>
  </si>
  <si>
    <t>Video ierakstu iekārta 32 videokamerām DS-9632MI-I8 ar POE switch, vai ekvivalents</t>
  </si>
  <si>
    <t>03-00000</t>
  </si>
  <si>
    <t>14-00000</t>
  </si>
  <si>
    <t>16-00000</t>
  </si>
  <si>
    <t>17-00000</t>
  </si>
  <si>
    <t>18-00000</t>
  </si>
  <si>
    <t>19-00000</t>
  </si>
  <si>
    <t>27-00000</t>
  </si>
  <si>
    <t>20-00000</t>
  </si>
  <si>
    <t>22-00000</t>
  </si>
  <si>
    <t>05-00000</t>
  </si>
  <si>
    <t>35-00000</t>
  </si>
  <si>
    <t>31-00000</t>
  </si>
  <si>
    <t>U1. Aukstā ūdensapgāde</t>
  </si>
  <si>
    <t>Ūdensmērītāja mezgls Nr.1</t>
  </si>
  <si>
    <t>Ūdensmērītāja mezgls Nr.2</t>
  </si>
  <si>
    <t>Ūdensmērītāja mezgls Nr.3</t>
  </si>
  <si>
    <t>T3.T4.T5 Karstā ūdensapgāde un cirkulācija</t>
  </si>
  <si>
    <t>K1. Sadzīves kanalizācija</t>
  </si>
  <si>
    <t>Sanitārtehniskās ierīces</t>
  </si>
  <si>
    <t>Papildus materiāli</t>
  </si>
  <si>
    <t>U1. Ūdensapgāde</t>
  </si>
  <si>
    <t>Esošo komunikāciju šķērsojumi</t>
  </si>
  <si>
    <t>Segumu demontāža un atjaunošana ārpus labiekārtojuma robežām</t>
  </si>
  <si>
    <t>blīvais asfaltbetons ACB 11, H=4cm</t>
  </si>
  <si>
    <t>karstais pamatu maisījums AC 11, H=6cm</t>
  </si>
  <si>
    <t>šķembas, 0/45, H=25cm</t>
  </si>
  <si>
    <t>vidēji rupja smilts ar filtrācijas koeficientu &gt;3m/dnn, H=30cm</t>
  </si>
  <si>
    <t>minerālmateriālu maisījums 0/32s, H=18cm</t>
  </si>
  <si>
    <t>saturīgās kārtas minerālmateriāli nestspējai ≥60Mpa, H=30cm</t>
  </si>
  <si>
    <t>augu zeme, zālāju sēklas un mēslojums, H=15cm</t>
  </si>
  <si>
    <t>Divlīmeņu metāla marga (L - 41,86m)</t>
  </si>
  <si>
    <t>Sēdelementu a; b; c; d; e; f; g izbūve</t>
  </si>
  <si>
    <t xml:space="preserve">betons C30/37 </t>
  </si>
  <si>
    <r>
      <t xml:space="preserve">garenstiegrojums </t>
    </r>
    <r>
      <rPr>
        <sz val="10"/>
        <rFont val="Calibri"/>
        <family val="2"/>
        <charset val="186"/>
      </rPr>
      <t>Ø</t>
    </r>
    <r>
      <rPr>
        <sz val="10"/>
        <rFont val="Times New Roman"/>
        <family val="1"/>
        <charset val="186"/>
      </rPr>
      <t>12 B500B</t>
    </r>
  </si>
  <si>
    <r>
      <t xml:space="preserve">šķērsstiegrojums </t>
    </r>
    <r>
      <rPr>
        <sz val="10"/>
        <rFont val="Calibri"/>
        <family val="2"/>
        <charset val="186"/>
      </rPr>
      <t>Ø</t>
    </r>
    <r>
      <rPr>
        <sz val="10"/>
        <rFont val="Times New Roman"/>
        <family val="1"/>
        <charset val="186"/>
      </rPr>
      <t>8 B500B</t>
    </r>
  </si>
  <si>
    <t>kokmateriāls</t>
  </si>
  <si>
    <t>palīgmateriāli (metāla distanceri, skrūves, dībeļi utt.)</t>
  </si>
  <si>
    <t>minerālmateriālu maisījums 20/40 (150mm)</t>
  </si>
  <si>
    <t>Augsnes kārtas noņemšana (vid.slānī 0,1m)</t>
  </si>
  <si>
    <t>betons C30/37</t>
  </si>
  <si>
    <t>Apdares darbi</t>
  </si>
  <si>
    <t>10-00000</t>
  </si>
  <si>
    <t>Teritorijas planēšana un liekās grunts norakšana un pārvietošana uz atbērtni</t>
  </si>
  <si>
    <t>Apgaismes ķermenis - Auris LED 60W 4000K 6000Lm, Stabs h=4m uz specializēta betona pamata, cinkots, krāsots analoģisku kā gaismas ķermenim. vai ekvivalents</t>
  </si>
  <si>
    <t>Velosipēda statīvi - Porta 800x800x50mm, cinkots, pulverkrāsots (divkārša virsmas apstrāde), tonis RAL 9006, pieskrūvēts pie betona pamata zem seguma, vai ekvivalents</t>
  </si>
  <si>
    <t>Sienu špaktelēšana un krāsošana uz apmetuma</t>
  </si>
  <si>
    <t>Sienu špaktelēšana un krāsošana uz ģipškartona</t>
  </si>
  <si>
    <t>Sienu flīzēšana uz ģipškartona</t>
  </si>
  <si>
    <t>Grīdu flīzēšana uz ģipškartona</t>
  </si>
  <si>
    <t>Grīdu flīzēšana uz betona</t>
  </si>
  <si>
    <t>Grīdas apdare slīpētu, pulētu betona</t>
  </si>
  <si>
    <t>Grīdas apdare ar paklājflīzēm uz ģipškartona</t>
  </si>
  <si>
    <t>Vinila flīžu ieklāšana grīdās uz ģipškartona</t>
  </si>
  <si>
    <t>XPS polistirola izolācija 200mm</t>
  </si>
  <si>
    <t>apmetums 10mm</t>
  </si>
  <si>
    <t>ūdensaizturoša grunts</t>
  </si>
  <si>
    <t>hidroizolācija</t>
  </si>
  <si>
    <t>latojums 25x40mm</t>
  </si>
  <si>
    <t>saunas dēlīšu apdare 20mm</t>
  </si>
  <si>
    <t>ģipškartons 2x12,5mm</t>
  </si>
  <si>
    <t>HPL ūdensizturīga atdaloša starpsiena 5mm</t>
  </si>
  <si>
    <t>latojums 50mm</t>
  </si>
  <si>
    <t>siltumizolācija 50mm</t>
  </si>
  <si>
    <t>latojums 150mm</t>
  </si>
  <si>
    <t>siltumizolācija 150mm</t>
  </si>
  <si>
    <t>latojums ar starplikām 200mm</t>
  </si>
  <si>
    <t>Grīdas</t>
  </si>
  <si>
    <t>līmeņa veidojošs slānis - monolīts dz-b ar iestrādātu pretslīdes rievojumu 100-190mm</t>
  </si>
  <si>
    <t>politilēna plēve 2 slāņos 2mm</t>
  </si>
  <si>
    <t>XPS siltumizolācija 100mm</t>
  </si>
  <si>
    <t>stiegrots betona izlīdzinošais slānis 60mm</t>
  </si>
  <si>
    <t>grīdas ģipškartona plāksnes 2x12,5mm</t>
  </si>
  <si>
    <t>skaņas izolācija 40mm</t>
  </si>
  <si>
    <t>polimēra kompozīta KPK dēļi 28mm</t>
  </si>
  <si>
    <t>terases PVC stiprinājumi 115-130mm</t>
  </si>
  <si>
    <t>masīvkoka dēļi ar 1cm spraugām 22mm</t>
  </si>
  <si>
    <t>saplāksnis 18mm</t>
  </si>
  <si>
    <t>instalācijas slānis ar siltumizolāciju 45mm</t>
  </si>
  <si>
    <t>L-1, 1000x2300mm, PVC</t>
  </si>
  <si>
    <t>L-2, 1000x2300mm, PVC</t>
  </si>
  <si>
    <t>L-4, 1300x2600mm, PVC</t>
  </si>
  <si>
    <t>L-3, 1300x2600mm, PVC</t>
  </si>
  <si>
    <t>alumīnija palodze</t>
  </si>
  <si>
    <t>Durvis</t>
  </si>
  <si>
    <t>ĀD2, 1000x2100x542, koka</t>
  </si>
  <si>
    <t>D1, divviru 1300x2100x450mm, koka</t>
  </si>
  <si>
    <t xml:space="preserve">D3, vienviru 900x2000x175mm, koka </t>
  </si>
  <si>
    <t>D4, vienviru 1000x2100x150mm, koka</t>
  </si>
  <si>
    <t>D5, vienviru 1000x2100x150mm, koka</t>
  </si>
  <si>
    <t>D8, vienviru 800x2100x150mm, koka</t>
  </si>
  <si>
    <t>D7, vienviru 1000x2100x150mm, koka</t>
  </si>
  <si>
    <t>D6, divviru 1400x2100x100mm, koka stiklotas</t>
  </si>
  <si>
    <t>D9, vienviru 1220x2135x5, pilnstikla</t>
  </si>
  <si>
    <t>D12, vienviru 1000x2100x205mm, koka</t>
  </si>
  <si>
    <t>D11, vienviru 1000x2100x205mm, koka</t>
  </si>
  <si>
    <t>D14, vienviru 1000x2100x150mm, koka</t>
  </si>
  <si>
    <t>D15, vienviru 800x2100x150mm, koka</t>
  </si>
  <si>
    <t>ID1, bīdāmā pilstikla sistēma 4750x3410x5mm</t>
  </si>
  <si>
    <t>D17, stiklots sienas bloks ar durvīm 2425x2135x10mm, stikla</t>
  </si>
  <si>
    <t>D18, vienviru 1000x2100x205mm, koka stiklotas</t>
  </si>
  <si>
    <t>D19, pilnstikla 2960x2135x10mm, stikla</t>
  </si>
  <si>
    <t>D20, vienviru 1000x2100x205mm, koka</t>
  </si>
  <si>
    <t xml:space="preserve">D21, vienviru 800x2100x205mm, koka </t>
  </si>
  <si>
    <t>D22, vienviru 800x2100x100/150mm, koka</t>
  </si>
  <si>
    <t>D23, vienviru 1000x2100x150mm, koka</t>
  </si>
  <si>
    <t>margas M-1</t>
  </si>
  <si>
    <t>margas M-2</t>
  </si>
  <si>
    <t>palīgmateriāli (stiprinājumi, skrūves, dībeļi u.tt.)</t>
  </si>
  <si>
    <t>margas M-7</t>
  </si>
  <si>
    <t>margas M-8</t>
  </si>
  <si>
    <t>Fasāde</t>
  </si>
  <si>
    <t>XPS polistirola izolācija, 200mm</t>
  </si>
  <si>
    <t>Pamati</t>
  </si>
  <si>
    <t>Pamatu plātnes PL-1 izbūve</t>
  </si>
  <si>
    <t>Pagrabstāva sienas un kolonas</t>
  </si>
  <si>
    <t>1.stāva sienas</t>
  </si>
  <si>
    <t>KSS-1</t>
  </si>
  <si>
    <t>KSS-2</t>
  </si>
  <si>
    <t>KSS-3</t>
  </si>
  <si>
    <t>kokmateriāls, ST 1-1, 45x95mm</t>
  </si>
  <si>
    <t xml:space="preserve">kokmateriāls, starta lata stiklotai fasādei  50x250mm,  ST 4-1 </t>
  </si>
  <si>
    <t>kokmateriāls, ST 2-1 45x145mm</t>
  </si>
  <si>
    <t>1.stāva kolonas</t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</si>
  <si>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  <r>
      <rPr>
        <sz val="10"/>
        <rFont val="Arial"/>
      </rPr>
      <t/>
    </r>
  </si>
  <si>
    <t>Stikla fasādes un kāpņu stiprinājumu spraišļi</t>
  </si>
  <si>
    <t>1.stāva sijas</t>
  </si>
  <si>
    <t xml:space="preserve">Koka siju montāža </t>
  </si>
  <si>
    <t>Metāla sijas montāža</t>
  </si>
  <si>
    <t>Koka spraišļu montāža</t>
  </si>
  <si>
    <t>Metāla kolonas montāža</t>
  </si>
  <si>
    <t>metāla kolona K 7-1, 150x150x10,0_col, S355</t>
  </si>
  <si>
    <t>Koka kolonu montāža</t>
  </si>
  <si>
    <t>koka kolona K1-1, 90x95 statnis_col</t>
  </si>
  <si>
    <t>koka kolona K2-1, 190x95_col</t>
  </si>
  <si>
    <t>koka kolona K3-1, 145x145 kolonna_col</t>
  </si>
  <si>
    <t>koka kolona K4-1, 145x250_col</t>
  </si>
  <si>
    <t>koka kolona K5-1, 145x200_col</t>
  </si>
  <si>
    <t>koka kolona K6-1, 145x95_col</t>
  </si>
  <si>
    <t>koka kolona K8-1, 50x250 stikla
fasādei_col</t>
  </si>
  <si>
    <t>koka kolona K9-1, 250x250 koka
kolonna_col</t>
  </si>
  <si>
    <t>koka kolona K10-1, 200x145_col</t>
  </si>
  <si>
    <t>koka kolona K11-1, 95x200_1_col</t>
  </si>
  <si>
    <t>Terases uzjumteņa koka elementi</t>
  </si>
  <si>
    <t>Koka elementu montāža</t>
  </si>
  <si>
    <t>1.stāva pārsegums</t>
  </si>
  <si>
    <t>1.stāva pārseguma sijas</t>
  </si>
  <si>
    <t>Koka siju montāža</t>
  </si>
  <si>
    <t xml:space="preserve">KS11 145x160_beam 3755 1 </t>
  </si>
  <si>
    <t xml:space="preserve">KS12 145x160_beam 2800 1 </t>
  </si>
  <si>
    <t xml:space="preserve">CLT masīvkoka paneļu montāža </t>
  </si>
  <si>
    <t>KSS-4</t>
  </si>
  <si>
    <t>KSS-5</t>
  </si>
  <si>
    <t>KSS-6</t>
  </si>
  <si>
    <t>KSS-7</t>
  </si>
  <si>
    <t>KSS-8</t>
  </si>
  <si>
    <t>kokmateriāls ST 1-2, 45x95mm</t>
  </si>
  <si>
    <t>kokmateriāls ST 2-2, 45x200mm</t>
  </si>
  <si>
    <t>kokmateriāls, ST 3-2 45x145mm</t>
  </si>
  <si>
    <t>kokmateriāls, ST 5-2,  45x145mm</t>
  </si>
  <si>
    <t>kokmateriāls, ST 4-2, 45x95mm</t>
  </si>
  <si>
    <t>kokmateriāls, ST 3-1,  45x200mm</t>
  </si>
  <si>
    <t>2.stāva kolonas</t>
  </si>
  <si>
    <t xml:space="preserve">koka sija S1-1, 135x95 </t>
  </si>
  <si>
    <t>koka sija S2-1, 135x95</t>
  </si>
  <si>
    <t xml:space="preserve">koka sija S3-1, 135x95 </t>
  </si>
  <si>
    <t xml:space="preserve">koka sija S4-1, 135x95 </t>
  </si>
  <si>
    <t xml:space="preserve">koka sija S5-1, 135x95 </t>
  </si>
  <si>
    <t xml:space="preserve">koka sija S6-1, 135x95 </t>
  </si>
  <si>
    <t xml:space="preserve">koka sija S7-1, 250x200 </t>
  </si>
  <si>
    <t>koka sija S8-1, 250x200</t>
  </si>
  <si>
    <t xml:space="preserve">koka sija S9-1, 250x200 </t>
  </si>
  <si>
    <t xml:space="preserve">koka sija S10-1, 135x145 </t>
  </si>
  <si>
    <t xml:space="preserve">koka sija S11-1, 135x200 </t>
  </si>
  <si>
    <t xml:space="preserve">koka sija S12-1, 135x145 </t>
  </si>
  <si>
    <t xml:space="preserve">koka sija S13-1, 135x145 </t>
  </si>
  <si>
    <t>Terases iekārtā jumta atsaites</t>
  </si>
  <si>
    <t xml:space="preserve">Metāla atsaišu montāža </t>
  </si>
  <si>
    <t>2.stāva sijas</t>
  </si>
  <si>
    <t>Kopņu KP-1 montāža</t>
  </si>
  <si>
    <t>Kopņu KP-2 montāža</t>
  </si>
  <si>
    <t>Kopņu KP-3 montāža</t>
  </si>
  <si>
    <t>Kopņu KP-4 montāža</t>
  </si>
  <si>
    <t>Kopņu KP-5 montāža</t>
  </si>
  <si>
    <t>CLT pārseguma līmenī esošo siju montāža</t>
  </si>
  <si>
    <t>2.stāva sienas</t>
  </si>
  <si>
    <t>3.stāva sienas</t>
  </si>
  <si>
    <t>KSS-9</t>
  </si>
  <si>
    <t>3.stāva sijas</t>
  </si>
  <si>
    <t>3.stāva kolonas</t>
  </si>
  <si>
    <t>kokmateriāls ST 1-3, 45x95mm</t>
  </si>
  <si>
    <t>kokmateriāls ST 2-3, 45x145mm</t>
  </si>
  <si>
    <t>kokmateriāls, ST 3-3 45x95mm</t>
  </si>
  <si>
    <t>Kopņu KP-6 montāža</t>
  </si>
  <si>
    <t>Kopņu KP-7 montāža</t>
  </si>
  <si>
    <t>Kopņu atgāžņu un joslu montāža</t>
  </si>
  <si>
    <t>Kopņu statņu montāža</t>
  </si>
  <si>
    <t>Balkona slīpās kolonas</t>
  </si>
  <si>
    <t>Slīpo kolonu montāža</t>
  </si>
  <si>
    <t>Metāla kāpņu siju montāža</t>
  </si>
  <si>
    <t>Atbalstsienas</t>
  </si>
  <si>
    <t>Lifta šahta</t>
  </si>
  <si>
    <t>Buru nojume</t>
  </si>
  <si>
    <t>Buru nojumes kolonu montāža</t>
  </si>
  <si>
    <t>Buru nojumes siju montāža</t>
  </si>
  <si>
    <t xml:space="preserve">S1-2, 135x95 </t>
  </si>
  <si>
    <t xml:space="preserve">S2-2, 135x95 </t>
  </si>
  <si>
    <t xml:space="preserve">S3-2, 135x95 </t>
  </si>
  <si>
    <t xml:space="preserve">S4-2, 135x95 </t>
  </si>
  <si>
    <t xml:space="preserve">S5-2, 135x95 </t>
  </si>
  <si>
    <t xml:space="preserve">S6-2, 135x95 </t>
  </si>
  <si>
    <t xml:space="preserve">S7-2,135x200 </t>
  </si>
  <si>
    <t xml:space="preserve">S8-2, 135x200 </t>
  </si>
  <si>
    <t xml:space="preserve">S9-2, 135x200 </t>
  </si>
  <si>
    <t xml:space="preserve">S10-2, 145x135_beam </t>
  </si>
  <si>
    <t>S11-2, 300x200x12,5_beam, S355</t>
  </si>
  <si>
    <t>S12-2, 300x200x12,5_beam, S355</t>
  </si>
  <si>
    <t>S13-2, 300x200x12,5_beam, S355</t>
  </si>
  <si>
    <t>S14-2, 300x200x12,5_beam, S355</t>
  </si>
  <si>
    <t>S15-2, 300x200x12,5_beam, S355</t>
  </si>
  <si>
    <t>S16-2, 300x200x12,5_beam,  S355</t>
  </si>
  <si>
    <t>S17-2, 300x200x10,0_beam, S355</t>
  </si>
  <si>
    <t xml:space="preserve">KS13, 145x160_beam </t>
  </si>
  <si>
    <t xml:space="preserve">KS14, 145x160_beam </t>
  </si>
  <si>
    <t xml:space="preserve">K1-2, 90x95 statnis_col </t>
  </si>
  <si>
    <t xml:space="preserve">K2-2, 190x95_col </t>
  </si>
  <si>
    <t xml:space="preserve">K4-2, 145x95_col </t>
  </si>
  <si>
    <t xml:space="preserve">K5-2, 145x200_col </t>
  </si>
  <si>
    <t xml:space="preserve">K6-2, 90x95 statnis_col </t>
  </si>
  <si>
    <t xml:space="preserve">K8-2, 200x145_col </t>
  </si>
  <si>
    <t xml:space="preserve">K9-2, 95x200_1_col </t>
  </si>
  <si>
    <t>MA-1, D42,4mm_t2,6mm, S355</t>
  </si>
  <si>
    <t>MA-2, D42,4mm_t2,6mm, S355</t>
  </si>
  <si>
    <t xml:space="preserve">KP1, CLT panelis, b=160mm </t>
  </si>
  <si>
    <t xml:space="preserve">KP1.1, CLT panelis, b=160mm </t>
  </si>
  <si>
    <t xml:space="preserve">KP1.2, CLT panelis, b=160mm </t>
  </si>
  <si>
    <t xml:space="preserve">KP2, CLT panelis, b=160mm </t>
  </si>
  <si>
    <t xml:space="preserve">KP2.1, CLT panelis, b=160mm </t>
  </si>
  <si>
    <t xml:space="preserve">KP2.2, CLT panelis, b=160mm </t>
  </si>
  <si>
    <t xml:space="preserve">KP3, CLT panelis, b=160mm </t>
  </si>
  <si>
    <t xml:space="preserve">KP3.1, CLT panelis, b=160mm </t>
  </si>
  <si>
    <t xml:space="preserve">KP3.2, CLT panelis, b=160mm </t>
  </si>
  <si>
    <t>KP3.3, CLT panelis, b=160mm</t>
  </si>
  <si>
    <t xml:space="preserve">KP3.4, CLT panelis, b=160mm </t>
  </si>
  <si>
    <t xml:space="preserve">KP4, CLT panelis, b=160mm </t>
  </si>
  <si>
    <t xml:space="preserve">KP5, CLT panelis, b=160mm </t>
  </si>
  <si>
    <t xml:space="preserve">KS1, 200x150_beam </t>
  </si>
  <si>
    <t xml:space="preserve">KS2, 200x150_beam </t>
  </si>
  <si>
    <t xml:space="preserve">KS3, 150x150_beam </t>
  </si>
  <si>
    <t xml:space="preserve">KS4, 150x150_beam </t>
  </si>
  <si>
    <t xml:space="preserve">KS5, 150x150_beam </t>
  </si>
  <si>
    <t xml:space="preserve">KS6, 150x150_beam </t>
  </si>
  <si>
    <t xml:space="preserve">KS7, 150x150_beam </t>
  </si>
  <si>
    <t xml:space="preserve">KS8, 150x150_beam </t>
  </si>
  <si>
    <t xml:space="preserve">KS9, 150x150_beam </t>
  </si>
  <si>
    <t xml:space="preserve">KS10, 150x150_beam  </t>
  </si>
  <si>
    <t xml:space="preserve">KS15, 200x150_beam </t>
  </si>
  <si>
    <t>SPR1, 50x250 stikla fasādei_beam</t>
  </si>
  <si>
    <t xml:space="preserve">SPR2, 50x250 stikla fasādei_beam </t>
  </si>
  <si>
    <t xml:space="preserve">SPR3, 50x250 stikla fasādei_beam </t>
  </si>
  <si>
    <t xml:space="preserve">SPR4, 50x250 stikla fasādei_beam </t>
  </si>
  <si>
    <t xml:space="preserve">SPR5, 50x250 stikla fasādei_beam </t>
  </si>
  <si>
    <t>SPR6, 50x250 stikla fasādei_beam</t>
  </si>
  <si>
    <t xml:space="preserve">SPR7, 50x250 stikla fasādei_beam </t>
  </si>
  <si>
    <t xml:space="preserve">SPR8, 50x250 stikla fasādei_beam </t>
  </si>
  <si>
    <t xml:space="preserve">SPR9, 50x250 stikla fasādei_beam </t>
  </si>
  <si>
    <t xml:space="preserve">SPR10, 50x250 stikla fasādei_beam </t>
  </si>
  <si>
    <t xml:space="preserve">KPA-1, 45x120_beam </t>
  </si>
  <si>
    <t xml:space="preserve">KPA-2, 45x120_beam </t>
  </si>
  <si>
    <t xml:space="preserve">KPA-4, 45x120_beam </t>
  </si>
  <si>
    <t>KPJ-1, 45x120_beam</t>
  </si>
  <si>
    <t xml:space="preserve">KPJ-2, 45x120_beam </t>
  </si>
  <si>
    <t xml:space="preserve">KPA-3, 45x120_beam </t>
  </si>
  <si>
    <t>KPA-5, 45x120_beam</t>
  </si>
  <si>
    <t xml:space="preserve">KPJ-3, 45x120_beam </t>
  </si>
  <si>
    <t xml:space="preserve">KPJ-3.1, 45x120_beam </t>
  </si>
  <si>
    <t xml:space="preserve">KPS-2, 45x120_col </t>
  </si>
  <si>
    <t xml:space="preserve">KPA-6, 45x120_beam </t>
  </si>
  <si>
    <t xml:space="preserve">KPJ-4, 45x120_beam </t>
  </si>
  <si>
    <t xml:space="preserve">KPS-3, 45x120_col </t>
  </si>
  <si>
    <t>KPS-4, 45x145_col</t>
  </si>
  <si>
    <t xml:space="preserve">KPA-7, 75x120_beam </t>
  </si>
  <si>
    <t xml:space="preserve">KPJ-5, 75x120_beam </t>
  </si>
  <si>
    <t xml:space="preserve">KPJ-5.1, 75x120_beam </t>
  </si>
  <si>
    <t xml:space="preserve">ST1-3, 45x95 </t>
  </si>
  <si>
    <t xml:space="preserve">ST2-3, 45x145 </t>
  </si>
  <si>
    <t xml:space="preserve">ST3-3, 45x95 </t>
  </si>
  <si>
    <t>K1-3, 90x95 statnis_col</t>
  </si>
  <si>
    <t>K2-3, 90x95 statnis_col</t>
  </si>
  <si>
    <t xml:space="preserve">K3-3, 145x95_col </t>
  </si>
  <si>
    <t xml:space="preserve">KP-2 </t>
  </si>
  <si>
    <t xml:space="preserve">KP-3 </t>
  </si>
  <si>
    <t xml:space="preserve">KP-4 </t>
  </si>
  <si>
    <t xml:space="preserve">KP-5 </t>
  </si>
  <si>
    <t xml:space="preserve">KP-6 </t>
  </si>
  <si>
    <t xml:space="preserve">KP-7 </t>
  </si>
  <si>
    <t xml:space="preserve">KP-9 </t>
  </si>
  <si>
    <t xml:space="preserve">KP-10 </t>
  </si>
  <si>
    <t>KP-1</t>
  </si>
  <si>
    <t>KPS-1, U 260_beam, S355</t>
  </si>
  <si>
    <t>KPS-2, U 260_beam, S355</t>
  </si>
  <si>
    <t>KPS-3,  U 260_beam, S355</t>
  </si>
  <si>
    <t>KPS-4,  U 260_beam, S355</t>
  </si>
  <si>
    <t>KPS-5, U 260_beam,S355</t>
  </si>
  <si>
    <t>KPS-6 U 260_beam, S355</t>
  </si>
  <si>
    <t>KPS-7, U 260_beam, S355</t>
  </si>
  <si>
    <t>KPS-8, U 260_beam, S355</t>
  </si>
  <si>
    <t>KPS-9, U 260_beam, S355</t>
  </si>
  <si>
    <t>KPS-10,  U 260_beam, S355</t>
  </si>
  <si>
    <t>KPS-11, U 260_beam, S355</t>
  </si>
  <si>
    <t>TK-1, CHS323.9x10, S355</t>
  </si>
  <si>
    <t>TK-2, CHS323.9x10, S355</t>
  </si>
  <si>
    <t>TK-3, CHS323.9x10, S355</t>
  </si>
  <si>
    <t>TK-5,CHS323.9x10, S355</t>
  </si>
  <si>
    <t>TK-6 CHS323.9x10, S355</t>
  </si>
  <si>
    <t>TK-7 CHS323.9x10, S355</t>
  </si>
  <si>
    <t>TK-8 CHS323.9x10, S355</t>
  </si>
  <si>
    <t>TK-4, CHS323.9x10, S355</t>
  </si>
  <si>
    <t>TS-1, HSS273.1x12.7, S355</t>
  </si>
  <si>
    <t>TS-2, HSS273.1x12.7, S355</t>
  </si>
  <si>
    <t>TS-3, HSS273.1x12.7, S355</t>
  </si>
  <si>
    <t>TS-4, HSS273.1x12.7, S355</t>
  </si>
  <si>
    <t>TS-5, HSS273.1x12.7, S355</t>
  </si>
  <si>
    <t>TS-6, HSS273.1x12.7, S355</t>
  </si>
  <si>
    <t>TS-7, HSS273.1x12.7, S355</t>
  </si>
  <si>
    <t>TS-8, HSS273.1x12.7, S355</t>
  </si>
  <si>
    <t>Atbalstsienas AS-1 sienu betonēšana, betons C30/37, iestrādājot ar sūkni, iesk.veidņu montāžu un demontāžu, betona kopšanu</t>
  </si>
  <si>
    <t>Atbalstsienas AS-1 plātnes 300mm betonēšana, betons C30/37, iestrādājot ar sūkni, iesk.veidņu montāžu un demontāžu, betona kopšanu</t>
  </si>
  <si>
    <t>Atbalstsienas AS-1 plātnes 220mm betonēšana, betons C30/37, iestrādājot ar sūkni, iesk.veidņu montāžu un demontāžu, betona kopšanu</t>
  </si>
  <si>
    <t>Atbalstsienas AS-2 sienu betonēšana, betons C30/37, iestrādājot ar sūkni, iesk.veidņu montāžu un demontāžu, betona kopšanu</t>
  </si>
  <si>
    <t>armatūra B500BØ12</t>
  </si>
  <si>
    <t>armatūra B500BØ20</t>
  </si>
  <si>
    <t>Griesti</t>
  </si>
  <si>
    <t>Dažādi darbi</t>
  </si>
  <si>
    <t>margas M-3 - M-6</t>
  </si>
  <si>
    <t xml:space="preserve">amortizējošā lenta vienpus., pašlīm. 95mm  30m </t>
  </si>
  <si>
    <t xml:space="preserve">dībelis K 6/35 </t>
  </si>
  <si>
    <t>gb</t>
  </si>
  <si>
    <t>ģipškartona plāksnes GKF 12,5mm 1200x3001</t>
  </si>
  <si>
    <t>skrūves, smalka vītne TN 3,5x25mm =1000 gb./Paka</t>
  </si>
  <si>
    <t>skrūves, smalka vītne TN 3,5x35mm =1000 gb./Paka</t>
  </si>
  <si>
    <t xml:space="preserve">stūru aizsargšina 31/31/04 3000 mm </t>
  </si>
  <si>
    <t>alum. stūru aizsarglenta 52 mm = rullis 30 m</t>
  </si>
  <si>
    <t>Logi, vitrīnas</t>
  </si>
  <si>
    <t>Jumts</t>
  </si>
  <si>
    <t>Ārējo alumīnija logu palodžu montāža</t>
  </si>
  <si>
    <t>Logu ailu Termoizolācijas lenta Pro Clima Contega SL vai ekvivalents</t>
  </si>
  <si>
    <t>PVC rūpnieciski krāsotu RAL 9005 logu montāža</t>
  </si>
  <si>
    <t>Kāpņu K-4 cinkotu, krāsotu RAL7021 margu montāža</t>
  </si>
  <si>
    <t>Cinkotu, krāsotu RAL7021 margu montāža</t>
  </si>
  <si>
    <t>akmens vate spraugu aizpildīšanai</t>
  </si>
  <si>
    <t>kompl.</t>
  </si>
  <si>
    <t>durvju atslēgas</t>
  </si>
  <si>
    <t>gab.</t>
  </si>
  <si>
    <t>tālvadības pultis</t>
  </si>
  <si>
    <t>palīgmateriāli vārtu montāžai, tai skaitā rāmja stiprinājuma konstrukcija</t>
  </si>
  <si>
    <t>ĀD1, 3000x2400x510mm, garāžas vārti ar durvīm, tonis tumši pelēks</t>
  </si>
  <si>
    <t>vārtu automātika ar vadības bloku</t>
  </si>
  <si>
    <t>iep.</t>
  </si>
  <si>
    <t>Sekcijveida garāžas vārtu ĀD1 ar durvīm montāža</t>
  </si>
  <si>
    <t>D10, saunas 850x2050x170mm, stikla</t>
  </si>
  <si>
    <t>D13, vienviru 1000x2100x205m, koka</t>
  </si>
  <si>
    <t>D15/2, duvviru 1400x2100x150, stiklotas</t>
  </si>
  <si>
    <t>D16, divviru 1400x2100x150, stiklotas</t>
  </si>
  <si>
    <t>APKURES SISTĒMA</t>
  </si>
  <si>
    <t>D16x2</t>
  </si>
  <si>
    <t>m.</t>
  </si>
  <si>
    <t>D20x2,5</t>
  </si>
  <si>
    <t>D25x2,5</t>
  </si>
  <si>
    <t>D32x3</t>
  </si>
  <si>
    <t>Cauruļvadu veidgbali</t>
  </si>
  <si>
    <t>kpl.</t>
  </si>
  <si>
    <t>C11-300-400</t>
  </si>
  <si>
    <t>gb.</t>
  </si>
  <si>
    <t>C22-400-400</t>
  </si>
  <si>
    <t>KOH21-450-400</t>
  </si>
  <si>
    <t>KOH21-600-600</t>
  </si>
  <si>
    <t>KOH21-600-900</t>
  </si>
  <si>
    <t>KOH21-750-400</t>
  </si>
  <si>
    <t>KOH21-900-400</t>
  </si>
  <si>
    <t>MICL-110-900-260</t>
  </si>
  <si>
    <t>MICL-110-800-260</t>
  </si>
  <si>
    <t>MICL-90-1200-260</t>
  </si>
  <si>
    <t>MICL-90-1300-260</t>
  </si>
  <si>
    <t>MICL-90-1500-260</t>
  </si>
  <si>
    <t>MICL-90-1700-260</t>
  </si>
  <si>
    <t>MICL-90-1800-260</t>
  </si>
  <si>
    <t>Cauruļvadu putupolietilēna siltumizolācijas čaula 13 mm</t>
  </si>
  <si>
    <t>Balansēšanas vārsts</t>
  </si>
  <si>
    <t>STAD-10</t>
  </si>
  <si>
    <t>STAD-15</t>
  </si>
  <si>
    <t>STAD-25</t>
  </si>
  <si>
    <t>Lodveida krāns</t>
  </si>
  <si>
    <t>DN10</t>
  </si>
  <si>
    <t>DN15</t>
  </si>
  <si>
    <t>DN25</t>
  </si>
  <si>
    <t>Caurule 110/160</t>
  </si>
  <si>
    <t>Buderus</t>
  </si>
  <si>
    <t>Izvadplāksne plakanam jumtam</t>
  </si>
  <si>
    <t>1gb.</t>
  </si>
  <si>
    <t xml:space="preserve">Caurules stiprinājumi </t>
  </si>
  <si>
    <t>1kpl.</t>
  </si>
  <si>
    <t>Līkums-45 110/160</t>
  </si>
  <si>
    <t>2gb.</t>
  </si>
  <si>
    <t>Izvads caur jumtu 1540 mm</t>
  </si>
  <si>
    <t>Elektriskās siltās grīdas</t>
  </si>
  <si>
    <t>ECmat 100T</t>
  </si>
  <si>
    <t>Elektrisko silto grīdu vadība</t>
  </si>
  <si>
    <t>Telpas termostats grīdas konvektoriem</t>
  </si>
  <si>
    <t>Stiprināšanas materiāli</t>
  </si>
  <si>
    <t>Cauruļu stiprinājumi</t>
  </si>
  <si>
    <t xml:space="preserve">Marķēšanas materiāli </t>
  </si>
  <si>
    <t>Apkures sistēmas hidrauliskā pārbaude</t>
  </si>
  <si>
    <t>APKURES SADALES MEZGLS</t>
  </si>
  <si>
    <t>Apkures sistēmas cirkulācijas sūknis (Q=506 l/h, H=60 kPa)</t>
  </si>
  <si>
    <t>Magna3 25-80</t>
  </si>
  <si>
    <t>Apkures sistēmas cirkulācijas sūknis (Q=290 l/h, H=60 kPa)</t>
  </si>
  <si>
    <t>Magna3 25-60</t>
  </si>
  <si>
    <t>Apkures sistēmas cirkulācijas sūknis (Q=2418 l/h, H=30 kPa)</t>
  </si>
  <si>
    <t>Magna3 32-60</t>
  </si>
  <si>
    <t>Karstā ūdens cirkulācijas sūknis (Q=100 l/h, H=10 kPa)</t>
  </si>
  <si>
    <t>Comfort 15-14 B PM</t>
  </si>
  <si>
    <t>Sūkņa grupa gāzes iekārtai GB162-70</t>
  </si>
  <si>
    <t>Slēguma modulis</t>
  </si>
  <si>
    <t>MM100</t>
  </si>
  <si>
    <t>Katla bāzes regulators</t>
  </si>
  <si>
    <t>BC10</t>
  </si>
  <si>
    <t>Regulators</t>
  </si>
  <si>
    <t>RC310</t>
  </si>
  <si>
    <t>Hidrauliskais atdalītājs</t>
  </si>
  <si>
    <t>HKV2/25/25</t>
  </si>
  <si>
    <t>Sadales kolektors</t>
  </si>
  <si>
    <t>DN50</t>
  </si>
  <si>
    <t>Karstā ūdens tvertne</t>
  </si>
  <si>
    <t>SU 1000</t>
  </si>
  <si>
    <t>DN40</t>
  </si>
  <si>
    <t>DN32</t>
  </si>
  <si>
    <t>DN20</t>
  </si>
  <si>
    <t>Vienvirziena vārsts</t>
  </si>
  <si>
    <t>STAD-20</t>
  </si>
  <si>
    <t>STAD-40</t>
  </si>
  <si>
    <t>Filtrs</t>
  </si>
  <si>
    <t>Manometrs ar krānu</t>
  </si>
  <si>
    <t>Manometrs</t>
  </si>
  <si>
    <t>Termometrs</t>
  </si>
  <si>
    <t>Temperatūras sensors caurulē</t>
  </si>
  <si>
    <t>Izplešanās trauks</t>
  </si>
  <si>
    <t>NG25</t>
  </si>
  <si>
    <t>DD33</t>
  </si>
  <si>
    <t>Drošības vārsts</t>
  </si>
  <si>
    <t>10 bar</t>
  </si>
  <si>
    <t>Trīsceļu vārsts ar izpildmehānismu</t>
  </si>
  <si>
    <t>CV 316 RGA DN15 Kvs=2.5</t>
  </si>
  <si>
    <t>CV 316 RGA DN15 Kvs=1.25</t>
  </si>
  <si>
    <t>Izlaišanas krāns</t>
  </si>
  <si>
    <t>Tērauda caurule</t>
  </si>
  <si>
    <t>Cauruļvadu akmens vates čaula 20mm</t>
  </si>
  <si>
    <t>Elektroinstalācijas materiāli</t>
  </si>
  <si>
    <t>VENTILĀCIJAS KALORIFERU APSAISTE</t>
  </si>
  <si>
    <t>Apkures sistēmas cirkulācijas sūknis (Q=229l/h, H=40 kPa)</t>
  </si>
  <si>
    <t>Magna3 25-40</t>
  </si>
  <si>
    <t>Automātiskās atgaisošanas ventilis</t>
  </si>
  <si>
    <t>CV 316 RGA DN15 Kvs=0.63</t>
  </si>
  <si>
    <t>Cauruļvadu akmens vates siltumizolācijas čaula ar folija pārklājumu 30mm</t>
  </si>
  <si>
    <t>Ventilācijas, gaisa kondicionēšana</t>
  </si>
  <si>
    <t>VENTILĀCIJAS SISTĒMAS PN1 UN PN2</t>
  </si>
  <si>
    <t>Ventilācijas iekārta PN1 ar rotora siltummaini/dzesēšanas kaloriferu/automātiku/filtriem/noslēgvārstiem</t>
  </si>
  <si>
    <t>Verso-R-1300-UV-DX-L1-F7/M5-C5.1-SL/A</t>
  </si>
  <si>
    <t>Ventilācijas iekārta PN2 ar rotora siltummaini/dzesēšanas kaloriferu/automātiku/filtriem/noslēgvārstiem</t>
  </si>
  <si>
    <t>Verso-R-2000-UV-DX-R1-F7/M5-C5.1-SL/A</t>
  </si>
  <si>
    <t>Kanāla sildītājs</t>
  </si>
  <si>
    <t>CWW 400-2-2.5</t>
  </si>
  <si>
    <t>CWW 315-2-2.5</t>
  </si>
  <si>
    <t>Gaisa vads no cinkotā skārda</t>
  </si>
  <si>
    <t>Ø100</t>
  </si>
  <si>
    <t>Ø125</t>
  </si>
  <si>
    <t>Ø150</t>
  </si>
  <si>
    <t>Ø160</t>
  </si>
  <si>
    <t>Ø200</t>
  </si>
  <si>
    <t>Ø250</t>
  </si>
  <si>
    <t>Ø315</t>
  </si>
  <si>
    <t>Ø400</t>
  </si>
  <si>
    <t>200x100</t>
  </si>
  <si>
    <t>300x100</t>
  </si>
  <si>
    <t>400x100</t>
  </si>
  <si>
    <t>400x200</t>
  </si>
  <si>
    <t>400x300</t>
  </si>
  <si>
    <t>450x450</t>
  </si>
  <si>
    <t>600x200</t>
  </si>
  <si>
    <t>800x200</t>
  </si>
  <si>
    <t>150x100</t>
  </si>
  <si>
    <t>700x700</t>
  </si>
  <si>
    <t>1600x300</t>
  </si>
  <si>
    <t>Fasondaļu kplekts</t>
  </si>
  <si>
    <t>Pieplūdes restes ar rāmi</t>
  </si>
  <si>
    <t>C21-200x100</t>
  </si>
  <si>
    <t>C21-600x200</t>
  </si>
  <si>
    <t>C21-400x100</t>
  </si>
  <si>
    <t>C21-400x200</t>
  </si>
  <si>
    <t>Nosūces restes ar rāmi</t>
  </si>
  <si>
    <t>C20-800x200</t>
  </si>
  <si>
    <t>C20-400x200</t>
  </si>
  <si>
    <t>Pieplūdes un nosūces difuzors</t>
  </si>
  <si>
    <t>ULA-100</t>
  </si>
  <si>
    <t>ULA-125</t>
  </si>
  <si>
    <t>ULA-160</t>
  </si>
  <si>
    <t>Pārplūdes reste</t>
  </si>
  <si>
    <t>Regulēšanas vārsts</t>
  </si>
  <si>
    <t>INNO-Ø100</t>
  </si>
  <si>
    <t>INNO-Ø125</t>
  </si>
  <si>
    <t>IRIS-Ø100</t>
  </si>
  <si>
    <t>IRIS-Ø125</t>
  </si>
  <si>
    <t>IRIS-Ø160</t>
  </si>
  <si>
    <t>UTG/R-400x100</t>
  </si>
  <si>
    <t>VAV vārsts ar motoru</t>
  </si>
  <si>
    <t>DTHU-200</t>
  </si>
  <si>
    <t>DTHU-315</t>
  </si>
  <si>
    <t>Klusinātājs</t>
  </si>
  <si>
    <t>SLBGU 400 1500 100</t>
  </si>
  <si>
    <t>SLBGU 400 1200 100</t>
  </si>
  <si>
    <t>KVAP-200-1000-5</t>
  </si>
  <si>
    <t>KVAP-315-1000-5</t>
  </si>
  <si>
    <t>KVAP-100-1000-5</t>
  </si>
  <si>
    <t>SLCBU 315 1200 100</t>
  </si>
  <si>
    <t>Āra reste</t>
  </si>
  <si>
    <t>LG-700x700</t>
  </si>
  <si>
    <t>LG-1600x300</t>
  </si>
  <si>
    <t>Elastīgais savienojums</t>
  </si>
  <si>
    <t>JLSF-400x300</t>
  </si>
  <si>
    <t>JLA-315</t>
  </si>
  <si>
    <t>Ugunsdrošais vārsts EI-60 + stāvokļa indikators</t>
  </si>
  <si>
    <t>PKIR3G-Ø400-DV1-2</t>
  </si>
  <si>
    <t>Ugunsdrošais pārklājums</t>
  </si>
  <si>
    <t>Promastop E 12,5 kg</t>
  </si>
  <si>
    <t>Ugunsdrošā cietā akmens vate 150 kg/m3</t>
  </si>
  <si>
    <t>b=50 mm</t>
  </si>
  <si>
    <t>Ugunsdrošā lente</t>
  </si>
  <si>
    <t>Promastop W</t>
  </si>
  <si>
    <t>Ugunsdrošā mastika</t>
  </si>
  <si>
    <t>Promaseal AG</t>
  </si>
  <si>
    <t>Ugunsdrošā izolācija Paroc EI-60</t>
  </si>
  <si>
    <t>b=80 mm</t>
  </si>
  <si>
    <t>Kaučuka tvaika izolācijas paklājs</t>
  </si>
  <si>
    <t>b=20 mm</t>
  </si>
  <si>
    <t>Tīrīšanas lūkas gaisa vadam</t>
  </si>
  <si>
    <t>Kondensāta sifons ar lodīti</t>
  </si>
  <si>
    <t>Blīvēšanas materiāli</t>
  </si>
  <si>
    <t>Gaisa vadu stiprinājumi</t>
  </si>
  <si>
    <t>GAISA KONDICIONĒŠANA K1 UN K2. VENTILĀCIJAS SISTĒMAS DZESĒŠANA</t>
  </si>
  <si>
    <t>Freona āra bloks ar stiprinājumiem pie sienas</t>
  </si>
  <si>
    <t>AOU-53HPDC1B</t>
  </si>
  <si>
    <t>AOU-105HPDC3B</t>
  </si>
  <si>
    <t>Vara caurule ar izolāciju 9 mm + PVC aizsargčaula</t>
  </si>
  <si>
    <t>1/2"</t>
  </si>
  <si>
    <t>1/4"</t>
  </si>
  <si>
    <t>5/8"</t>
  </si>
  <si>
    <t>3/8"</t>
  </si>
  <si>
    <t>Sistēmas hidrauliskā pārbaude</t>
  </si>
  <si>
    <t>ĀD3, stiklota siena ar durvīm, 3000x2100x542, stiklotas</t>
  </si>
  <si>
    <t>ĀD4, divviru, 1200x2100x542, koka</t>
  </si>
  <si>
    <t>D2, divviru 1000x2100x150mm, koka, EI30 ugunsdrošas</t>
  </si>
  <si>
    <t>logu ailu Termoizolācijas lenta Pro Clima Contega SL vai ekvivalents</t>
  </si>
  <si>
    <t>08-00000</t>
  </si>
  <si>
    <t xml:space="preserve">Cinkota, krāsota metāla jumta kāpņu montāža </t>
  </si>
  <si>
    <t>Jumta F-6* izbūve</t>
  </si>
  <si>
    <t>Jumta F-6 izbūve</t>
  </si>
  <si>
    <t>Terases F-5 izbūve</t>
  </si>
  <si>
    <t>akmens masas flīzes b=10mm, 30x30 cm</t>
  </si>
  <si>
    <t>flīžu līme</t>
  </si>
  <si>
    <t>šuvju špaktele</t>
  </si>
  <si>
    <t>krustiņi</t>
  </si>
  <si>
    <t>iep</t>
  </si>
  <si>
    <t>Slīpumu veidojošais slānis &gt;10mm</t>
  </si>
  <si>
    <t xml:space="preserve">paklājflīzes </t>
  </si>
  <si>
    <t>l</t>
  </si>
  <si>
    <t>grunts</t>
  </si>
  <si>
    <t>vinila flīzes</t>
  </si>
  <si>
    <t>1l</t>
  </si>
  <si>
    <t xml:space="preserve">  smilšpapīrs N60, N120</t>
  </si>
  <si>
    <r>
      <t>m</t>
    </r>
    <r>
      <rPr>
        <vertAlign val="superscript"/>
        <sz val="8"/>
        <rFont val="Arial"/>
        <family val="2"/>
        <charset val="204"/>
      </rPr>
      <t>2</t>
    </r>
  </si>
  <si>
    <t xml:space="preserve">  Smilšpapīrs N60, N120</t>
  </si>
  <si>
    <t>akrila krāsa Sadolin Bindo 20 vai ekvivalents</t>
  </si>
  <si>
    <t>Grīdlīstu montāža</t>
  </si>
  <si>
    <t>keramikas flīzes</t>
  </si>
  <si>
    <t>Spundētu, ēvelētu apses koka dēlīšu sienas apšuvums</t>
  </si>
  <si>
    <t>evelēts kokmateriāls</t>
  </si>
  <si>
    <t>pirts apdares dēlis 15x65x2400, apse</t>
  </si>
  <si>
    <t>pirts dēlis 30x46 mm 2m, apse</t>
  </si>
  <si>
    <t>Apmesto griestu krāsošana ar emulsijas krāsu ar sagatavošanu</t>
  </si>
  <si>
    <t xml:space="preserve">  smilšpapīrs N60,N120</t>
  </si>
  <si>
    <t>Griestu ģipšartona apšuvuma krāsošana ar sagatavošanu</t>
  </si>
  <si>
    <t>akrila krāsaSadolin Bindo 20 vai ekvivalents</t>
  </si>
  <si>
    <t>Pagraba ārsienas apdare,  S-1, S-2</t>
  </si>
  <si>
    <t>Grīdas F-1 pamatnes izbūve</t>
  </si>
  <si>
    <t>Grīdas F-2 pamatnes izbūve</t>
  </si>
  <si>
    <t>Grīdas F-3 pamatnes izbūve</t>
  </si>
  <si>
    <t>Griestu F-2 konstrukcijas izbūve</t>
  </si>
  <si>
    <t>Griestu F-4 konstrukcijas izbūve</t>
  </si>
  <si>
    <t>Griesti F-6 konstrukcijas izbūve</t>
  </si>
  <si>
    <t>Balkona konstrukcijas izbūve</t>
  </si>
  <si>
    <t>Sienas, starpsienas</t>
  </si>
  <si>
    <t>Ceresit stiegrojošā kārta ar iestrādātu stiklašķiedras sietu 1mm</t>
  </si>
  <si>
    <t>saplāksnis 15mm</t>
  </si>
  <si>
    <t>Ārsienas apšuvuma konstrukcija S-10</t>
  </si>
  <si>
    <t>Ģipškartona plāksne  2x12,5</t>
  </si>
  <si>
    <t>Sienas S-1 konstrukcijas izveide</t>
  </si>
  <si>
    <t>Sienas S-2 konstrukcijas izveide</t>
  </si>
  <si>
    <t>Sienas S-2.2 apstrāde ar ūdensaizturošu grunti</t>
  </si>
  <si>
    <t>Sienas S-3 konstrukcijas izveide</t>
  </si>
  <si>
    <t>Sienas S-7 konstrukcijas izveide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</si>
  <si>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</rPr>
      <t/>
    </r>
  </si>
  <si>
    <t>Apmetuma izveide sienai S-8</t>
  </si>
  <si>
    <t>Apmetuma izveide sienai S-9</t>
  </si>
  <si>
    <t>Starpsienas S-15 konstrukcijas izbūve</t>
  </si>
  <si>
    <t>Starpsienas S-16 konstrukcijas izbūve</t>
  </si>
  <si>
    <t>Starpsienas S-17 konstrukcijas izbūve</t>
  </si>
  <si>
    <t>Apšuvuma S-18 konstrukcijas izbūve</t>
  </si>
  <si>
    <t>Starpsienas S-19 konstrukcijas izbūve</t>
  </si>
  <si>
    <t>Starpsienas S-20 konstrukcijas izbūve</t>
  </si>
  <si>
    <t>Apšuvums S-21 konstrukcijas izbūve</t>
  </si>
  <si>
    <t>Pamats P-2</t>
  </si>
  <si>
    <t>Pamats P-1</t>
  </si>
  <si>
    <t>Pamats P-3</t>
  </si>
  <si>
    <t>Pamats P-4</t>
  </si>
  <si>
    <t>Pamatu plātnes PL-2 izbūve</t>
  </si>
  <si>
    <t>Plātnes PL-3 izbūve</t>
  </si>
  <si>
    <t>armatūra B500BØ12 (poz.7,8,9,10)</t>
  </si>
  <si>
    <t>armatūra B500BØ12 (poz.2)</t>
  </si>
  <si>
    <t>armatūra B500BØ12 (poz.1,4,5)</t>
  </si>
  <si>
    <t>armatūra B500BØ12 (sienas)</t>
  </si>
  <si>
    <t>Siena W-1</t>
  </si>
  <si>
    <t>armatūra B500BØ12 (poz.11,12,13,14)</t>
  </si>
  <si>
    <t>Siena W-2</t>
  </si>
  <si>
    <t>Siena W-2.1</t>
  </si>
  <si>
    <t>Siena W-3</t>
  </si>
  <si>
    <t>Siena W-4</t>
  </si>
  <si>
    <t>Siena W-5</t>
  </si>
  <si>
    <t>Siena W-6</t>
  </si>
  <si>
    <t>Siena W-7</t>
  </si>
  <si>
    <t>Siena W-8</t>
  </si>
  <si>
    <t>Kolona K-1</t>
  </si>
  <si>
    <t>Pagrabstāva pārsegums</t>
  </si>
  <si>
    <t>Dzelzsbetona rīģeļu GS-2 izbūve</t>
  </si>
  <si>
    <t>Termobarjeru montāža</t>
  </si>
  <si>
    <t>metāla sija S14-1, 300x200x12,5_beam, S355</t>
  </si>
  <si>
    <t>K3-2 150x150x10,0_col, S355</t>
  </si>
  <si>
    <t>K7-2 150x150x10,0_col, S355</t>
  </si>
  <si>
    <t xml:space="preserve">KPA-8, 45x95_beam </t>
  </si>
  <si>
    <t xml:space="preserve">KPJ-6, 75x120_beam </t>
  </si>
  <si>
    <t xml:space="preserve">KPJ-7, 75x120_beam </t>
  </si>
  <si>
    <t>2.stāva kopnes, statņi, atgāžņi</t>
  </si>
  <si>
    <t>2.stāva pārsegums</t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</si>
  <si>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</si>
  <si>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4</t>
    </r>
    <r>
      <rPr>
        <sz val="10"/>
        <rFont val="Arial"/>
      </rPr>
      <t/>
    </r>
  </si>
  <si>
    <t>KP8, panelis 160mm</t>
  </si>
  <si>
    <t>KP9, panelis 160mm</t>
  </si>
  <si>
    <t>KP910, panelis 160mm</t>
  </si>
  <si>
    <t>K2-0, 250x150x6,0_beam, S355</t>
  </si>
  <si>
    <t>K3-0, 250x150x6,0_beam, S355</t>
  </si>
  <si>
    <t>K2.1-0, 250x150x6,0_beam, S355</t>
  </si>
  <si>
    <t>K3.1-0, 250x15x6,0_beam, S355</t>
  </si>
  <si>
    <t>Metāla kāpņu K2 un K3 sijas</t>
  </si>
  <si>
    <t>Kāpnes K-1</t>
  </si>
  <si>
    <t>Kāpņu K-1 izbūve</t>
  </si>
  <si>
    <t>armatūra B500BØ8</t>
  </si>
  <si>
    <t>armatūra B500BØ10</t>
  </si>
  <si>
    <t>armatūra B500BØ16</t>
  </si>
  <si>
    <t>Kāpnes K-4</t>
  </si>
  <si>
    <t>Kāpņu K-4 izbūve</t>
  </si>
  <si>
    <t>Atbalstsienas AS-2 plātnes betonēšana, betons C30/37, iestrādājot ar sūkni, iesk.veidņu montāžu un demontāžu, betona kopšanu</t>
  </si>
  <si>
    <t>armatūra B500BØ32</t>
  </si>
  <si>
    <t>Pārseguma plātnes PL-4 izbūve</t>
  </si>
  <si>
    <t>Sienas LW-1 izbūve</t>
  </si>
  <si>
    <t>Sienas LW-2 izbūve</t>
  </si>
  <si>
    <t>Sienas LW-3 izbūve</t>
  </si>
  <si>
    <t>Sienas LW-4 izbūve</t>
  </si>
  <si>
    <t>Buru nojumes papamta P-5 pēdu izbūve</t>
  </si>
  <si>
    <t>Buru nojumes papamta  P-5 stabu izbūve</t>
  </si>
  <si>
    <t>armatūra B500BØ20 (poz.17)</t>
  </si>
  <si>
    <t>armatūra B500BØ12 (poz.18,18,20,21,22)</t>
  </si>
  <si>
    <t>07-00000</t>
  </si>
  <si>
    <t>betona bruģakmens 298*148*80 ("Dekor 300") 67%</t>
  </si>
  <si>
    <t>RSO-500X200</t>
  </si>
  <si>
    <t>Gaismekļu armatūra.</t>
  </si>
  <si>
    <t>Kontaktligzda ar zemējumu, IP65, v/a, 16A</t>
  </si>
  <si>
    <t>Kabelis ar vara dzīslām, NYY-J-5x1.5mm2</t>
  </si>
  <si>
    <t>Kabelis ar vara dzīslām, NYY-J-3x2.5mm2</t>
  </si>
  <si>
    <t>Videokamera IP kamera HikVision DS-2CD2743G0-IZS 2.8-12mm, vai ekvivalents</t>
  </si>
  <si>
    <r>
      <t>Wall Mount kron</t>
    </r>
    <r>
      <rPr>
        <b/>
        <sz val="8"/>
        <color indexed="63"/>
        <rFont val="Times New Roman"/>
        <family val="1"/>
        <charset val="186"/>
      </rPr>
      <t>š</t>
    </r>
    <r>
      <rPr>
        <b/>
        <sz val="8"/>
        <color indexed="63"/>
        <rFont val="Arial"/>
        <family val="2"/>
        <charset val="186"/>
      </rPr>
      <t>teins DS-1473zj-155</t>
    </r>
  </si>
  <si>
    <t>Grīdas F-4 pamatnes izbūve</t>
  </si>
  <si>
    <t>skaņas izolācija 2x75+5mm</t>
  </si>
  <si>
    <t>stiklšķiedras siets</t>
  </si>
  <si>
    <t>sietlenta</t>
  </si>
  <si>
    <t>sietlenta 48mmx45m, pašlīmējoša</t>
  </si>
  <si>
    <t xml:space="preserve">amortizējošā lenta vienpus., pašlīm. 50mm  30m </t>
  </si>
  <si>
    <t>ģipškartona metāla profils UD 28/27/0.5 3,00m</t>
  </si>
  <si>
    <t>ģipškartona metāla profils CD 60/27/0.5 3.00m</t>
  </si>
  <si>
    <t>ģipškartona metāla profils UW 50/40/0.5 3,00m</t>
  </si>
  <si>
    <t>ģipškartona metāla profils CW 50/50/0.5 3.00m</t>
  </si>
  <si>
    <t>Ārsienu konstrukcijas izbūve S-11</t>
  </si>
  <si>
    <t>Griesti F-5 konstrukcijas izbūve</t>
  </si>
  <si>
    <t>Lietus ūdens rūpnieciski krāsotu RAL9005 skārda tekņu Ø125mm montāža komplektā ar stiprinājumiem</t>
  </si>
  <si>
    <t>Lietus ūdens rūpnieciski krāsotu RAL9005 skārda noteku Ø90mm montāža komplektā ar stioprinājumiem</t>
  </si>
  <si>
    <t>skrūves, rupjā vītne TN 3,5x35mm =1000 gb./Paka</t>
  </si>
  <si>
    <t>terases dēļu stiprinājumi, h=97mm ar skrūvēm</t>
  </si>
  <si>
    <t>terases dēļu stiprinājumi, h=1400mm ar skrūvēm</t>
  </si>
  <si>
    <t>Augstas izturības PVC tentu brezenta un poliestera audumu, pārklāts ar PVDF aizsardzības slāni ( polivinilidēnfluorīda bāzes pārklājumu ar netīrumu atgrudošām īpašībām) montāža, t.sk. stiprinājumi</t>
  </si>
  <si>
    <t>profilēta ūdeni neuzsūcoša silikona gumijas lenta</t>
  </si>
  <si>
    <t>ģipškartona plāksnes GKB 12,5mm 1200x3000</t>
  </si>
  <si>
    <t>ģipškartona plāksnes GKB 12,5mm 1200x3000, 2x12,5mm</t>
  </si>
  <si>
    <t>ģipškartona plāksnes GKB 12,5mm 1200x3000, 1x12,5mm</t>
  </si>
  <si>
    <t>Gāzes katla skursteņa komplekts DO 110/160</t>
  </si>
  <si>
    <t>Parka sols ar atzveltni VPteh01 2000x800mm, koka un metāla daļas krāsotas tonī RAL 9002 (grey white), pieskrūvēts pie seguma, vai ekvivalents</t>
  </si>
  <si>
    <t>Mikus Dzudzilo</t>
  </si>
  <si>
    <t>Pasūtījuma Nr. 1-39/37</t>
  </si>
  <si>
    <t>Avārijas LED gaismeklis, 3W, 1st, IP44, 13 LED</t>
  </si>
  <si>
    <t>Darbu apjomu saraksts Nr.1-1</t>
  </si>
  <si>
    <t>Sertifikāta Nr.20-7063</t>
  </si>
  <si>
    <t>06-00000</t>
  </si>
  <si>
    <t>21-00000</t>
  </si>
  <si>
    <t>09-00000</t>
  </si>
  <si>
    <t>Darbu apjomu saraksts Nr.1-2</t>
  </si>
  <si>
    <t>Darbu ap[jomu saraksts Nr.2-1</t>
  </si>
  <si>
    <t>Dasrbu apjomu saraksts Nr.2-2</t>
  </si>
  <si>
    <t>Darbu apjomu saraksts Nr.2-3</t>
  </si>
  <si>
    <t xml:space="preserve">Kopā: </t>
  </si>
  <si>
    <t>Darbu apjomu saraksts Nr.2-4</t>
  </si>
  <si>
    <t>Darbu apjomu saraksts Nr.2-5</t>
  </si>
  <si>
    <t>Darbu apjomu saraksts Nr.2-6</t>
  </si>
  <si>
    <t>Darbu apjomu sarakstsNr.2-7</t>
  </si>
  <si>
    <t>Darbu apjomu saraksts Nr.2-8</t>
  </si>
  <si>
    <t>Darbu apjomu saraksts Nr.2-9</t>
  </si>
  <si>
    <t>Darbu apjomu saraksts Nr.3-1</t>
  </si>
  <si>
    <t>Komercuzskaites mēraparāta mezgls</t>
  </si>
  <si>
    <t>Iekšējie un ārējie gāzes tīkli un iekārtas</t>
  </si>
  <si>
    <t>25-00000</t>
  </si>
  <si>
    <t>Iekšējie tīkli, iekārtas</t>
  </si>
  <si>
    <t>Elektromagnētiskais vārsts, Dn25PN6, Madas vai ekvivalents</t>
  </si>
  <si>
    <t>Gāzes noplūdes detektors Seitron vai ekvivalents</t>
  </si>
  <si>
    <t>Gāzes lodveida krāns, Dn20PN6, "Arco"vai ekvivalents</t>
  </si>
  <si>
    <t>Tērauda pāreja, Dn32/25, LVS NE 10208-1:2002</t>
  </si>
  <si>
    <t>Tērauda pāreja, Dn32/20, LVS NE 10208-1:2002</t>
  </si>
  <si>
    <t>Tērauda caurule, D42, 4x3,6 (Dn32), LVS NE 10208-1:2002</t>
  </si>
  <si>
    <t>Lokanais pievads, DN20 L=0,5m</t>
  </si>
  <si>
    <t>Iekšējo gāzes vadu sanulējums</t>
  </si>
  <si>
    <t>vieta</t>
  </si>
  <si>
    <t>Izolēts vara vads, s+4mm2</t>
  </si>
  <si>
    <t>Tērauda līkums 90*, Dn32, LVS NE 10208-1:2002</t>
  </si>
  <si>
    <t>Gāzes vadu stiptināšana, Dn25, Sērija 5.905-8</t>
  </si>
  <si>
    <t>Gāzes vada hidrauliskā pārbaude</t>
  </si>
  <si>
    <t>Ārējie tīkli</t>
  </si>
  <si>
    <t>25-00001</t>
  </si>
  <si>
    <t>Iekārtas</t>
  </si>
  <si>
    <t>SNG pazemes tvertne, V=4,85m3, MOP-15,6bar, Kadatec vai ekvivalents</t>
  </si>
  <si>
    <t>Kombinētais reg.GOK BHK052, 12kg/st, P1-15,6bar, P2-50mbar, pēc DIN 4811 ar DNV un DSV</t>
  </si>
  <si>
    <t>Materiāli</t>
  </si>
  <si>
    <t>Izvads no pazemes tvertnes (savienojuma stabiņa PE32 ar uzgriezni), "WEBA GRUPA" vai ekvivalents</t>
  </si>
  <si>
    <t>Virszemes lodveida krāns, Dn20, "WEBA GRUPA" vai ekvivalents</t>
  </si>
  <si>
    <t>Cokola ievadlīkums PE32, Dn20, "WEBA GRUPA" vai ekvivalents</t>
  </si>
  <si>
    <t>Ievads ēkā (caur sienas vadu), D33,7x3,6(Dn25), "WEBA GRUPA" vai ekvivalents</t>
  </si>
  <si>
    <t>Politilēna caurule PE100, PN4, D40x3,7, "Pipelife" vai ekvivalents</t>
  </si>
  <si>
    <t>PE EM pāreja, D40/D32, "Pipelife" vai ekvivalents</t>
  </si>
  <si>
    <t>Politilēna brīdinājuma lenta "GĀZE"</t>
  </si>
  <si>
    <t>Betona plātne TP-5, 1500x700x140</t>
  </si>
  <si>
    <t>Enkurbulta</t>
  </si>
  <si>
    <t>SNG Tvertnes zemējums</t>
  </si>
  <si>
    <t>sist</t>
  </si>
  <si>
    <t>dzelzs lenta 24x4(h)</t>
  </si>
  <si>
    <t>dzelzs stieņi</t>
  </si>
  <si>
    <t>Gāzes vada hidrasiliskā pārbaude</t>
  </si>
  <si>
    <t>Līmlente</t>
  </si>
  <si>
    <t>Kontaktkārba, PMI-1.5-02</t>
  </si>
  <si>
    <t>Elektrodi</t>
  </si>
  <si>
    <t xml:space="preserve">Zemes rekultivācija </t>
  </si>
  <si>
    <t>Gultnes sagatavošana ar smiltīm</t>
  </si>
  <si>
    <t>Topogrāfiskā uzmērīšana</t>
  </si>
  <si>
    <t>Izpilddokumentācijas sagatavošana</t>
  </si>
  <si>
    <t>Tiešās izmaksas kopā, t. sk. darba devēja sociālais nodoklis (24.09%)</t>
  </si>
  <si>
    <t>Darbu apjomu saraksts Nr.2-10</t>
  </si>
  <si>
    <t>Paroc XMV 001 100mm vai ekvivalents</t>
  </si>
  <si>
    <t>Paroc SSB1 50mm vai ekvivalents</t>
  </si>
  <si>
    <t>HEA sija stiprināta pie Schock Isokorb KS20-V10, 240mm vai ekvivalents</t>
  </si>
  <si>
    <t>Kingspan Kooltherm K5 50mm vai ekvivalents</t>
  </si>
  <si>
    <t>Tenapors EPS50 300mm vai ekvivalents</t>
  </si>
  <si>
    <t>Sienas S-4 apstrāde ar Planiseal WR100 vai ekvivalents</t>
  </si>
  <si>
    <t>Sienas S-5 apstrāde ar Planiseal WR100 vai ekvivalents</t>
  </si>
  <si>
    <t>Sienas S-6 apstrāde ar Planiseal WR100vai ekvivalents</t>
  </si>
  <si>
    <t>Sienas S-7 apstrāde ar Planiseal WR100 vai ekvivalents</t>
  </si>
  <si>
    <t>Instalācijas slānis ar Isover KL37 70mm vai ekvivalents</t>
  </si>
  <si>
    <t>Starpsienas S-12 izbūve, KNAUF W115 sistēma vai ekvivalents</t>
  </si>
  <si>
    <t>Starpsienas S-13 izbūve, W112 KNAUF metāla statņu starpsienas 100mm vai ekvivalents</t>
  </si>
  <si>
    <t>akmens vate Paroc UNS 37 50 mm vai ekvivalents</t>
  </si>
  <si>
    <t>Starpsienas S-14 konstrukcijas izbūve, KNAUF W112 sistērma vai ekvivalents</t>
  </si>
  <si>
    <t>Isover sauna loksnes 45mm vai ekvivalents</t>
  </si>
  <si>
    <t>Knauf Fireboard 1x12,5mm vai ekvivalents</t>
  </si>
  <si>
    <t>Kingspan Kooltherm K5  50mm vai ekvivalents</t>
  </si>
  <si>
    <t>Kingspan Kooltherm K5 200mm vai ekvivalents</t>
  </si>
  <si>
    <t>KNAUF D112 griestu sistēma 200mm vai ekvivalents</t>
  </si>
  <si>
    <t>Forbo 541 Eurofix Anti Slip dispersijas līme paklājflīzēm vai ekvivalents</t>
  </si>
  <si>
    <t>universāla ūdens dispersijas līme segumu pielīmēšanai Rollcoll vai ekvivalents</t>
  </si>
  <si>
    <t>špaktele GYPROC ready mix, 28kg  vai ekvivalents</t>
  </si>
  <si>
    <t>grunts Unigrund vai ekvivalents</t>
  </si>
  <si>
    <t>mitrumizturīga līme VETONIT HANDY FIX vai ekvivalents</t>
  </si>
  <si>
    <t>laka saunām Tikkurila Supi Saunasuoja EP vai ekvivalents</t>
  </si>
  <si>
    <t>Griestu apstrāde ar Planiseal WR100 vai ekvivalents</t>
  </si>
  <si>
    <t>Loguapdare ar Cembrit Solid S212 vai ekvivalents</t>
  </si>
  <si>
    <t>Rūpnieciski krāsotu "Schuco"AOC 50 TI.SI., vai ekvivalenta, RAL9005 fasādes alumīnija sistēmu montāža</t>
  </si>
  <si>
    <t>alumīnija fasādes sistēma V-1, t.sk. durvis, evakuācijas rokturi, pašaizvēršanās mehānismi durvīm, un atslēgu mehānismi, spraugu aizdrīvēšana ar Isover SK-C  vai ekvivalentu akmens vati, drošības uzlīmes</t>
  </si>
  <si>
    <t>alumīnija fasādes sistēma V-2, t.sk. durvis, evakuācijas rokturi, pašaizvēršanās mehānismi durvīm, un atslēgu mehānismi, spraugu aizdrīvēšana ar Isover SK-C vai ekvivalentu akmens vati, drošības uzlīmes</t>
  </si>
  <si>
    <t>makroflex vai ekvivalents</t>
  </si>
  <si>
    <t>Koka konstrukcijas ārdurvju bloku ĀD2 bez sliekšņa ierīkošana, aprīkotu ar pašaizvēršanās mehānismu komplektā ar durvju furnitūra ABLOY ( vai ekvivalents) nerūsējošs tērauds, un alumīnija kājlīsti</t>
  </si>
  <si>
    <t>Iekšējo koka durvju montāža bez sliekšņa, vērtnei priedes koka rāmis pildīts ar rorskaida plāksni, no abām pusēm aplīmēts ar HDF plāksni 3mm, uz kā līmēta apdare-plastikāta plāksne divos toņos, EGGER U156 ST15 vai ekvivalents, josla EGGER U321 ST15(14gb) vai ekvivalents un josla EGGER U205 ST2 (7gb) vai ekvivalents, vērtnes malas un logailas no 4 pusēm aplīstotas ar masīvkoka līsti 6mm, malas ar fāzi, krāsotas skābās cietēšanas krāsu tonis NCS S1580-Y90R (14gb) un NCS S4010-Y50R (7gb), durvju vērtnes apakšejā daļā iestrādāta restīte 100x400mm komplektā ar Masterkey sist. slēdzeni; ABLOY durvju furnitūru nerūsējošs tērauds, rokturi Inoxi 3-19/002 ( vai ekvivalents), WC telpu durvis aprīkotas ar WC slēdzeni; MDF klēdām krāsotas ar skābās cietēšana krāsu tonī NCS S1580-Y90R un NCS S4010-Y50R, D-2</t>
  </si>
  <si>
    <t>Ceresit dekoratīvais apmetums tonēts masā 10mm, pelēkmelna krāsa RAL7021 vai ekvivalents</t>
  </si>
  <si>
    <t>kokšķiedras plāksne Steico Universal 22mm vai ekvivalents</t>
  </si>
  <si>
    <t>Isover InsulSafe 400mm vai ekvivalents</t>
  </si>
  <si>
    <t>sintētiska vinkomponenta hidroizolācija Tectofin 3mm vai ekvivalents</t>
  </si>
  <si>
    <t>ThermoWhite WD 130R, veidots slīpumā 90-300mm vai ekvivalents</t>
  </si>
  <si>
    <t>Isover InsulSafe (blīvums 30kg/m3) 800mm vai ekvivalents</t>
  </si>
  <si>
    <t>Sintētiska vienkompozīta hidroizolācija Tectofin 3mm vai ekvivalents</t>
  </si>
  <si>
    <t>Paroc ROL 30 370mm vai ekvivalents</t>
  </si>
  <si>
    <t>Schocki Isokorb KS20-V10 vai ekvivalents</t>
  </si>
  <si>
    <t>Izolācija, caurulei OD110, b=50mm, “PAROC”-pagrabstāvā, asīs A-D vai ekvivalents</t>
  </si>
  <si>
    <t>Izolācija, caurulei OD50, b=50mm, “PAROC”-pagrabstāvā, asīs A-D  vai ekvivalents</t>
  </si>
  <si>
    <t>Jaucējkrāns, Vitra Solid S keramiskās izlietnes maisītājs,  komplektā ar keramisko kārtridžu 35mm, mīkstajiem ūdens pievadiem F35x3/8, stiprinājumu komplektu vai ekvivalents</t>
  </si>
  <si>
    <t>Roku mazgātne, Vitra S20, 55cm ar stiprinājumu komplektu, ar puskāju 45cm, Izlietne ar puskāju vai ekvivalents</t>
  </si>
  <si>
    <t>Trauku mazgātne 0.45m no grīdas, IFO  PUBLIC STEEL CU 44, Saimniecības izlietne telpā Nr.38 vai ekvivalents</t>
  </si>
  <si>
    <t>Klozetpods, Vitra S50 piekarams WC 52cm, komplektā ar cieto duraplasta vāku  vai ekvivalents</t>
  </si>
  <si>
    <t>Skalojamā kaste, iebūvējama ar metāla pogu, Vitra, (12cm) 3/6L vai ekvivalents</t>
  </si>
  <si>
    <t>Jaucējkrāns, invalīdu, Vitra Solid S vai ekvivalents</t>
  </si>
  <si>
    <t>Roku mazgātne, invalīdu, Vitra S20, 60cm vai ekvivalents</t>
  </si>
  <si>
    <t>Klozetpods, invalīdu, Vitra Conformas, piekarams, komplektā ar duroplasta vāku vai ekvivalents</t>
  </si>
  <si>
    <t xml:space="preserve"> vai ekvivalents</t>
  </si>
  <si>
    <t>Daudzslāņu caurule Uponor vai ekvivalents</t>
  </si>
  <si>
    <t>Purmo apkures radiators kplektā ar atgaitas regulēšanas vārstu un termogalvu vai ekvivalents</t>
  </si>
  <si>
    <t>Jaga grīdas konvektors kplektā ar atgaitas regulēšanas vārstu un termogalvu vai ekvivalents</t>
  </si>
  <si>
    <t>IMI Hydronic vai ekvivalents</t>
  </si>
  <si>
    <t>Buderus vai ekvivalents</t>
  </si>
  <si>
    <t>Danfoss vai ekvivalents</t>
  </si>
  <si>
    <t>Jaga vai ekvivalents</t>
  </si>
  <si>
    <t>Grundfos vai ekvivalents</t>
  </si>
  <si>
    <t>Reflex vai ekvivalents</t>
  </si>
  <si>
    <t>Komfovent vai ekvivalents</t>
  </si>
  <si>
    <t>Veab vai ekvivalents</t>
  </si>
  <si>
    <t>Lindab vai ekvivalents</t>
  </si>
  <si>
    <t>Halton vai ekvivalents</t>
  </si>
  <si>
    <t>ETS Nord vai ekvivalents</t>
  </si>
  <si>
    <t>Trox vai ekvivalents</t>
  </si>
  <si>
    <t>Systemair vai ekvivalents</t>
  </si>
  <si>
    <t>Promat vai ekvivalents</t>
  </si>
  <si>
    <t>Paroc vai ekvivalents</t>
  </si>
  <si>
    <t>K-Flex vai ekvivalents</t>
  </si>
  <si>
    <t>Nolasītājs Wiegand 26-bitu nolasītāja protokols vai ekvivalents</t>
  </si>
  <si>
    <t>Vadības klaviatūra, FoxSec FS9501LCD  vai ekvivalents</t>
  </si>
  <si>
    <t>Ieejas panelis ar iebūvētu videokameru,  zemapmetuma montāžai, nerūsējoš tērauda bloks, URMET vai ekvivalents</t>
  </si>
  <si>
    <t>Video monitors(abonentu ierīces), virsapmetuma montāžai, IP 30, URMET vai ekvivalents</t>
  </si>
  <si>
    <t>Riser interface kontrolieris, URMET vai ekvivalents</t>
  </si>
  <si>
    <t>Programma sistēmas konfigurēšanai un vadībai, URMET vai ekvivalents</t>
  </si>
  <si>
    <t>"UAS" kontroles panelis ESMI FX (2 cilpu) vai ekvivalents tai skaitā uz vienu komplektu:</t>
  </si>
  <si>
    <t xml:space="preserve"> -lietotāja interface plate ar indikāciju un šķidro kristālu displeju, FX-IU2  vai ekvivalents</t>
  </si>
  <si>
    <t>ieeju/izeju kontrolieris, sastāv no sauso kontaktu ieejām/izejām un trauksmes sirēnu izejām, FX-IOC vai ekvivalents</t>
  </si>
  <si>
    <t>cilpas kontrolieris, nodrošina cilpas kontroli, barošanu un savienojumu ar cilpas adrešu ierīcēm, FX-ALCB vai ekvivalents</t>
  </si>
  <si>
    <t>FX/ESA licenzes atslēga, ESMi FX/ESA vai ekvivalents</t>
  </si>
  <si>
    <t>Esgraf/Esmikko licence 10 adresēm vai ekvivalents</t>
  </si>
  <si>
    <t>Vizualizācijas programmatūra, ESMIKKO 4 vai ekvivalents</t>
  </si>
  <si>
    <t>RS232/TCP/IP konvertors, Moxa NPort® 5110 vai ekvivalents</t>
  </si>
  <si>
    <t xml:space="preserve">Rūpnieciski izgatavota siltināta ūdens mērītāja aka, H=1.2m ar slēdzamu REXEL tipa vāku no kaļamā ķeta 250kN, HDPE, D500 </t>
  </si>
  <si>
    <t>Gāzes apkures katls "Buderus" logomax plus GB  162 70.0kW (31,-SNG)*C33 tipa, 50mbar vai ekvivalents</t>
  </si>
  <si>
    <t>Atkritumu tvertne TERMINAL-1,5 NT 70L ar/bez pelnu trauku vai ekvivalents</t>
  </si>
  <si>
    <t>Dodiet ceļu (Nr.plānā 206)</t>
  </si>
  <si>
    <t>Nesaistīta minerālā materiāla seguma demontāža</t>
  </si>
  <si>
    <t>Nesaistīta minerālā materiāla seguma atjaunošana</t>
  </si>
  <si>
    <t>Pasažieru lifts KONE Mono space 500, celtspēja 8.personas, 630kg, kabīnes izmērs 1100x1400mm, h=200mm, ātrums 1,0m/s, 4 pieturas, durvju izmērs 900x2100mm, iekšējā apdare 12021 Industrial Chic, metāla ailas apdare, izsaukšanas pogām Braila ralsts, LED apgaismojums.  Vai ekvivalents.</t>
  </si>
  <si>
    <t>vai ekvivalents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</si>
</sst>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#,##0.00_ ;\-#,##0.00\ "/>
    <numFmt numFmtId="189" formatCode="0.000"/>
    <numFmt numFmtId="190" formatCode="0.0000"/>
    <numFmt numFmtId="191" formatCode="_-* #,##0.0000_-;\-* #,##0.0000_-;_-* &quot;-&quot;????_-;_-@_-"/>
  </numFmts>
  <fonts count="58">
    <font>
      <sz val="10"/>
      <name val="Arial"/>
    </font>
    <font>
      <sz val="10"/>
      <name val="Arial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</font>
    <font>
      <sz val="12"/>
      <color indexed="17"/>
      <name val="Times New Roman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17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Calibri"/>
      <family val="2"/>
    </font>
    <font>
      <sz val="8"/>
      <name val="Times New Roman"/>
      <family val="1"/>
      <charset val="186"/>
    </font>
    <font>
      <sz val="10"/>
      <color indexed="8"/>
      <name val="MS Sans Serif"/>
      <family val="2"/>
      <charset val="186"/>
    </font>
    <font>
      <sz val="11.5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  <charset val="186"/>
    </font>
    <font>
      <vertAlign val="superscript"/>
      <sz val="8"/>
      <name val="Arial"/>
      <family val="2"/>
      <charset val="204"/>
    </font>
    <font>
      <b/>
      <sz val="8"/>
      <color indexed="63"/>
      <name val="Arial"/>
      <family val="2"/>
      <charset val="186"/>
    </font>
    <font>
      <b/>
      <sz val="8"/>
      <color indexed="6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0" fontId="7" fillId="0" borderId="0"/>
    <xf numFmtId="0" fontId="31" fillId="0" borderId="0"/>
    <xf numFmtId="0" fontId="1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6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4" fillId="0" borderId="6">
      <alignment vertical="center"/>
    </xf>
    <xf numFmtId="0" fontId="25" fillId="0" borderId="6">
      <alignment vertical="center"/>
    </xf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53" fillId="0" borderId="0"/>
    <xf numFmtId="0" fontId="23" fillId="0" borderId="0"/>
    <xf numFmtId="0" fontId="5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54" fillId="0" borderId="0"/>
    <xf numFmtId="0" fontId="2" fillId="0" borderId="0"/>
    <xf numFmtId="0" fontId="53" fillId="0" borderId="0"/>
    <xf numFmtId="0" fontId="6" fillId="0" borderId="0"/>
    <xf numFmtId="0" fontId="33" fillId="0" borderId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2" fillId="0" borderId="0">
      <alignment vertical="center"/>
    </xf>
    <xf numFmtId="0" fontId="2" fillId="0" borderId="0"/>
    <xf numFmtId="0" fontId="4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/>
  </cellStyleXfs>
  <cellXfs count="366">
    <xf numFmtId="0" fontId="0" fillId="0" borderId="0" xfId="0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24" borderId="11" xfId="0" applyFont="1" applyFill="1" applyBorder="1" applyAlignment="1" applyProtection="1">
      <alignment horizontal="center" vertical="center" wrapText="1"/>
    </xf>
    <xf numFmtId="0" fontId="28" fillId="24" borderId="0" xfId="0" applyFont="1" applyFill="1" applyAlignment="1">
      <alignment vertical="center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left" vertical="center" wrapText="1"/>
    </xf>
    <xf numFmtId="43" fontId="28" fillId="24" borderId="12" xfId="0" applyNumberFormat="1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righ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24" borderId="0" xfId="0" applyFont="1" applyFill="1" applyAlignment="1">
      <alignment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7" fillId="0" borderId="0" xfId="0" applyFont="1" applyAlignment="1">
      <alignment horizontal="right" vertical="center" wrapText="1"/>
    </xf>
    <xf numFmtId="2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9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center" vertical="center" wrapText="1"/>
    </xf>
    <xf numFmtId="43" fontId="28" fillId="24" borderId="11" xfId="0" applyNumberFormat="1" applyFont="1" applyFill="1" applyBorder="1" applyAlignment="1">
      <alignment horizontal="center" vertical="center" wrapText="1"/>
    </xf>
    <xf numFmtId="0" fontId="28" fillId="24" borderId="14" xfId="0" applyFont="1" applyFill="1" applyBorder="1" applyAlignment="1" applyProtection="1">
      <alignment horizontal="center" vertical="center" wrapText="1"/>
    </xf>
    <xf numFmtId="0" fontId="28" fillId="24" borderId="12" xfId="0" applyFont="1" applyFill="1" applyBorder="1" applyAlignment="1" applyProtection="1">
      <alignment horizontal="center" vertical="center" wrapText="1"/>
    </xf>
    <xf numFmtId="43" fontId="28" fillId="24" borderId="12" xfId="28" applyNumberFormat="1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43" fontId="28" fillId="24" borderId="15" xfId="0" applyNumberFormat="1" applyFont="1" applyFill="1" applyBorder="1" applyAlignment="1">
      <alignment horizontal="center" vertical="center" wrapText="1"/>
    </xf>
    <xf numFmtId="43" fontId="28" fillId="24" borderId="15" xfId="28" applyNumberFormat="1" applyFont="1" applyFill="1" applyBorder="1" applyAlignment="1" applyProtection="1">
      <alignment horizontal="center" vertical="center" wrapText="1"/>
    </xf>
    <xf numFmtId="0" fontId="28" fillId="25" borderId="16" xfId="0" applyFont="1" applyFill="1" applyBorder="1" applyAlignment="1">
      <alignment vertical="center"/>
    </xf>
    <xf numFmtId="0" fontId="27" fillId="25" borderId="16" xfId="0" applyFont="1" applyFill="1" applyBorder="1" applyAlignment="1">
      <alignment horizontal="right" vertical="center" wrapText="1"/>
    </xf>
    <xf numFmtId="0" fontId="27" fillId="25" borderId="16" xfId="0" applyFont="1" applyFill="1" applyBorder="1" applyAlignment="1">
      <alignment vertical="center" wrapText="1"/>
    </xf>
    <xf numFmtId="0" fontId="27" fillId="25" borderId="16" xfId="0" applyFont="1" applyFill="1" applyBorder="1" applyAlignment="1">
      <alignment horizontal="left" vertical="center" wrapText="1"/>
    </xf>
    <xf numFmtId="0" fontId="28" fillId="24" borderId="13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43" fontId="28" fillId="0" borderId="12" xfId="28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43" fontId="28" fillId="0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2" fontId="28" fillId="0" borderId="0" xfId="28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center" vertical="center" wrapText="1"/>
    </xf>
    <xf numFmtId="43" fontId="28" fillId="0" borderId="12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righ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43" fontId="28" fillId="0" borderId="14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43" fontId="28" fillId="0" borderId="11" xfId="0" applyNumberFormat="1" applyFont="1" applyFill="1" applyBorder="1" applyAlignment="1">
      <alignment horizontal="center" vertical="center" wrapText="1"/>
    </xf>
    <xf numFmtId="43" fontId="28" fillId="0" borderId="11" xfId="28" applyNumberFormat="1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7" fillId="25" borderId="18" xfId="0" applyFont="1" applyFill="1" applyBorder="1" applyAlignment="1" applyProtection="1">
      <alignment horizontal="center" vertical="center" wrapText="1"/>
    </xf>
    <xf numFmtId="0" fontId="27" fillId="25" borderId="19" xfId="0" applyFont="1" applyFill="1" applyBorder="1" applyAlignment="1" applyProtection="1">
      <alignment horizontal="center" vertical="center" wrapText="1"/>
    </xf>
    <xf numFmtId="2" fontId="28" fillId="24" borderId="12" xfId="0" applyNumberFormat="1" applyFont="1" applyFill="1" applyBorder="1" applyAlignment="1">
      <alignment horizontal="center" vertical="center" wrapText="1"/>
    </xf>
    <xf numFmtId="43" fontId="28" fillId="24" borderId="20" xfId="28" applyNumberFormat="1" applyFont="1" applyFill="1" applyBorder="1" applyAlignment="1" applyProtection="1">
      <alignment horizontal="center" vertical="center" wrapText="1"/>
    </xf>
    <xf numFmtId="0" fontId="28" fillId="24" borderId="12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vertical="center" wrapText="1"/>
    </xf>
    <xf numFmtId="0" fontId="27" fillId="26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26" borderId="16" xfId="0" applyFont="1" applyFill="1" applyBorder="1" applyAlignment="1" applyProtection="1">
      <alignment horizontal="center" vertical="center" wrapText="1"/>
    </xf>
    <xf numFmtId="2" fontId="27" fillId="26" borderId="16" xfId="0" applyNumberFormat="1" applyFont="1" applyFill="1" applyBorder="1" applyAlignment="1">
      <alignment vertical="center" wrapText="1"/>
    </xf>
    <xf numFmtId="2" fontId="28" fillId="26" borderId="16" xfId="0" applyNumberFormat="1" applyFont="1" applyFill="1" applyBorder="1" applyAlignment="1">
      <alignment horizontal="center" vertical="center" wrapText="1"/>
    </xf>
    <xf numFmtId="43" fontId="28" fillId="26" borderId="16" xfId="28" applyNumberFormat="1" applyFont="1" applyFill="1" applyBorder="1" applyAlignment="1" applyProtection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43" fontId="28" fillId="26" borderId="16" xfId="0" applyNumberFormat="1" applyFont="1" applyFill="1" applyBorder="1" applyAlignment="1">
      <alignment horizontal="center" vertical="center" wrapText="1"/>
    </xf>
    <xf numFmtId="2" fontId="28" fillId="24" borderId="12" xfId="0" applyNumberFormat="1" applyFont="1" applyFill="1" applyBorder="1" applyAlignment="1">
      <alignment horizontal="right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 applyProtection="1">
      <alignment horizontal="left" vertical="center" wrapText="1"/>
      <protection locked="0"/>
    </xf>
    <xf numFmtId="0" fontId="55" fillId="0" borderId="11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26" borderId="16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56" fillId="26" borderId="16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55" fillId="26" borderId="16" xfId="65" applyFont="1" applyFill="1" applyBorder="1" applyAlignment="1">
      <alignment horizontal="center" vertical="center" wrapText="1"/>
    </xf>
    <xf numFmtId="0" fontId="28" fillId="0" borderId="12" xfId="65" applyFont="1" applyBorder="1" applyAlignment="1">
      <alignment vertical="center" wrapText="1"/>
    </xf>
    <xf numFmtId="0" fontId="28" fillId="0" borderId="12" xfId="65" applyFont="1" applyBorder="1" applyAlignment="1">
      <alignment horizontal="center" vertical="center" wrapText="1"/>
    </xf>
    <xf numFmtId="0" fontId="28" fillId="0" borderId="12" xfId="65" applyFont="1" applyBorder="1" applyAlignment="1">
      <alignment horizontal="left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8" fillId="0" borderId="13" xfId="65" applyFont="1" applyBorder="1" applyAlignment="1">
      <alignment vertical="center" wrapText="1"/>
    </xf>
    <xf numFmtId="0" fontId="28" fillId="0" borderId="13" xfId="65" applyFont="1" applyBorder="1" applyAlignment="1">
      <alignment horizontal="center" vertical="center" wrapText="1"/>
    </xf>
    <xf numFmtId="43" fontId="28" fillId="0" borderId="13" xfId="28" applyNumberFormat="1" applyFont="1" applyFill="1" applyBorder="1" applyAlignment="1" applyProtection="1">
      <alignment horizontal="center" vertical="center" wrapText="1"/>
    </xf>
    <xf numFmtId="0" fontId="28" fillId="0" borderId="11" xfId="65" applyFont="1" applyBorder="1" applyAlignment="1">
      <alignment vertical="center" wrapText="1"/>
    </xf>
    <xf numFmtId="0" fontId="28" fillId="0" borderId="13" xfId="65" applyFont="1" applyBorder="1" applyAlignment="1">
      <alignment horizontal="left" vertical="center" wrapText="1"/>
    </xf>
    <xf numFmtId="0" fontId="28" fillId="26" borderId="16" xfId="65" applyFont="1" applyFill="1" applyBorder="1" applyAlignment="1">
      <alignment horizontal="center" vertical="center" wrapText="1"/>
    </xf>
    <xf numFmtId="0" fontId="55" fillId="24" borderId="21" xfId="0" applyFont="1" applyFill="1" applyBorder="1" applyAlignment="1">
      <alignment horizontal="left" vertical="center" wrapText="1"/>
    </xf>
    <xf numFmtId="0" fontId="55" fillId="0" borderId="2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28" fillId="0" borderId="11" xfId="0" applyFont="1" applyFill="1" applyBorder="1" applyAlignment="1">
      <alignment wrapText="1"/>
    </xf>
    <xf numFmtId="0" fontId="28" fillId="0" borderId="13" xfId="0" applyFont="1" applyFill="1" applyBorder="1" applyAlignment="1">
      <alignment wrapText="1"/>
    </xf>
    <xf numFmtId="0" fontId="37" fillId="0" borderId="11" xfId="30" applyFont="1" applyFill="1" applyBorder="1" applyAlignment="1">
      <alignment vertical="center" wrapText="1"/>
    </xf>
    <xf numFmtId="0" fontId="37" fillId="0" borderId="12" xfId="30" applyFont="1" applyFill="1" applyBorder="1" applyAlignment="1">
      <alignment vertical="center" wrapText="1"/>
    </xf>
    <xf numFmtId="0" fontId="37" fillId="0" borderId="12" xfId="30" applyFont="1" applyFill="1" applyBorder="1" applyAlignment="1">
      <alignment horizontal="center" vertical="center" wrapText="1"/>
    </xf>
    <xf numFmtId="0" fontId="37" fillId="0" borderId="15" xfId="30" applyFont="1" applyFill="1" applyBorder="1" applyAlignment="1">
      <alignment vertical="center" wrapText="1"/>
    </xf>
    <xf numFmtId="0" fontId="28" fillId="26" borderId="18" xfId="0" applyFont="1" applyFill="1" applyBorder="1" applyAlignment="1">
      <alignment horizontal="center" vertical="center" wrapText="1"/>
    </xf>
    <xf numFmtId="0" fontId="27" fillId="26" borderId="18" xfId="0" applyFont="1" applyFill="1" applyBorder="1" applyAlignment="1">
      <alignment horizontal="left" vertical="center" wrapText="1"/>
    </xf>
    <xf numFmtId="43" fontId="28" fillId="26" borderId="18" xfId="0" applyNumberFormat="1" applyFont="1" applyFill="1" applyBorder="1" applyAlignment="1">
      <alignment horizontal="center" vertical="center" wrapText="1"/>
    </xf>
    <xf numFmtId="0" fontId="55" fillId="26" borderId="13" xfId="0" applyFont="1" applyFill="1" applyBorder="1" applyAlignment="1">
      <alignment horizontal="center" vertical="center" wrapText="1"/>
    </xf>
    <xf numFmtId="2" fontId="28" fillId="0" borderId="12" xfId="0" applyNumberFormat="1" applyFont="1" applyFill="1" applyBorder="1" applyAlignment="1">
      <alignment horizontal="left" vertical="center" wrapText="1"/>
    </xf>
    <xf numFmtId="2" fontId="28" fillId="24" borderId="15" xfId="0" applyNumberFormat="1" applyFont="1" applyFill="1" applyBorder="1" applyAlignment="1">
      <alignment horizontal="right" vertical="center" wrapText="1"/>
    </xf>
    <xf numFmtId="0" fontId="37" fillId="0" borderId="11" xfId="3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37" fillId="0" borderId="13" xfId="3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188" fontId="28" fillId="24" borderId="12" xfId="0" applyNumberFormat="1" applyFont="1" applyFill="1" applyBorder="1" applyAlignment="1">
      <alignment horizontal="right" vertical="center" wrapText="1"/>
    </xf>
    <xf numFmtId="188" fontId="28" fillId="26" borderId="16" xfId="0" applyNumberFormat="1" applyFont="1" applyFill="1" applyBorder="1" applyAlignment="1">
      <alignment horizontal="right" vertical="center" wrapText="1"/>
    </xf>
    <xf numFmtId="2" fontId="56" fillId="26" borderId="16" xfId="65" applyNumberFormat="1" applyFont="1" applyFill="1" applyBorder="1" applyAlignment="1">
      <alignment horizontal="right" wrapText="1"/>
    </xf>
    <xf numFmtId="2" fontId="28" fillId="0" borderId="11" xfId="0" applyNumberFormat="1" applyFont="1" applyFill="1" applyBorder="1" applyAlignment="1">
      <alignment horizontal="right" vertical="center" wrapText="1"/>
    </xf>
    <xf numFmtId="2" fontId="28" fillId="0" borderId="12" xfId="0" applyNumberFormat="1" applyFont="1" applyFill="1" applyBorder="1" applyAlignment="1">
      <alignment horizontal="right" vertical="center" wrapText="1"/>
    </xf>
    <xf numFmtId="2" fontId="28" fillId="0" borderId="15" xfId="0" applyNumberFormat="1" applyFont="1" applyFill="1" applyBorder="1" applyAlignment="1">
      <alignment horizontal="right" vertical="center" wrapText="1"/>
    </xf>
    <xf numFmtId="2" fontId="28" fillId="0" borderId="13" xfId="0" applyNumberFormat="1" applyFont="1" applyFill="1" applyBorder="1" applyAlignment="1">
      <alignment horizontal="right" vertical="center" wrapText="1"/>
    </xf>
    <xf numFmtId="2" fontId="28" fillId="26" borderId="16" xfId="0" applyNumberFormat="1" applyFont="1" applyFill="1" applyBorder="1" applyAlignment="1">
      <alignment horizontal="right" vertical="center" wrapText="1"/>
    </xf>
    <xf numFmtId="2" fontId="56" fillId="26" borderId="16" xfId="0" applyNumberFormat="1" applyFont="1" applyFill="1" applyBorder="1" applyAlignment="1">
      <alignment horizontal="right" vertical="center" wrapText="1"/>
    </xf>
    <xf numFmtId="2" fontId="37" fillId="0" borderId="11" xfId="30" applyNumberFormat="1" applyFont="1" applyFill="1" applyBorder="1" applyAlignment="1">
      <alignment horizontal="right" vertical="center" wrapText="1"/>
    </xf>
    <xf numFmtId="2" fontId="37" fillId="0" borderId="12" xfId="30" applyNumberFormat="1" applyFont="1" applyFill="1" applyBorder="1" applyAlignment="1">
      <alignment horizontal="right" vertical="center" wrapText="1"/>
    </xf>
    <xf numFmtId="0" fontId="28" fillId="26" borderId="16" xfId="0" applyFont="1" applyFill="1" applyBorder="1" applyAlignment="1">
      <alignment wrapText="1"/>
    </xf>
    <xf numFmtId="0" fontId="28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vertical="center" wrapText="1"/>
    </xf>
    <xf numFmtId="2" fontId="37" fillId="0" borderId="12" xfId="0" applyNumberFormat="1" applyFont="1" applyFill="1" applyBorder="1" applyAlignment="1">
      <alignment horizontal="right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2" xfId="75" applyFont="1" applyBorder="1" applyAlignment="1">
      <alignment vertical="center" wrapText="1"/>
    </xf>
    <xf numFmtId="2" fontId="28" fillId="0" borderId="12" xfId="0" applyNumberFormat="1" applyFont="1" applyBorder="1" applyAlignment="1">
      <alignment horizontal="right" vertical="center" wrapText="1"/>
    </xf>
    <xf numFmtId="0" fontId="28" fillId="0" borderId="15" xfId="75" applyFont="1" applyBorder="1" applyAlignment="1">
      <alignment vertical="center" wrapText="1"/>
    </xf>
    <xf numFmtId="0" fontId="28" fillId="0" borderId="11" xfId="75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13" xfId="75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right" vertical="center" wrapText="1"/>
    </xf>
    <xf numFmtId="0" fontId="28" fillId="0" borderId="1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38" fillId="27" borderId="16" xfId="29" applyFont="1" applyFill="1" applyBorder="1" applyAlignment="1">
      <alignment vertical="center" wrapText="1"/>
    </xf>
    <xf numFmtId="0" fontId="39" fillId="27" borderId="16" xfId="29" applyFont="1" applyFill="1" applyBorder="1" applyAlignment="1">
      <alignment vertical="center" wrapText="1"/>
    </xf>
    <xf numFmtId="2" fontId="28" fillId="0" borderId="11" xfId="0" applyNumberFormat="1" applyFont="1" applyBorder="1" applyAlignment="1">
      <alignment horizontal="right" vertical="center" wrapText="1"/>
    </xf>
    <xf numFmtId="2" fontId="28" fillId="0" borderId="15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vertical="center" wrapText="1"/>
    </xf>
    <xf numFmtId="2" fontId="28" fillId="0" borderId="13" xfId="0" applyNumberFormat="1" applyFont="1" applyBorder="1" applyAlignment="1">
      <alignment horizontal="right" vertical="center" wrapText="1"/>
    </xf>
    <xf numFmtId="2" fontId="39" fillId="27" borderId="16" xfId="29" applyNumberFormat="1" applyFont="1" applyFill="1" applyBorder="1" applyAlignment="1">
      <alignment horizontal="right" vertical="center" wrapText="1"/>
    </xf>
    <xf numFmtId="0" fontId="27" fillId="26" borderId="16" xfId="0" applyFont="1" applyFill="1" applyBorder="1" applyAlignment="1" applyProtection="1">
      <alignment horizontal="center" vertical="center" wrapText="1"/>
    </xf>
    <xf numFmtId="2" fontId="38" fillId="27" borderId="16" xfId="29" applyNumberFormat="1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vertical="center" wrapText="1"/>
    </xf>
    <xf numFmtId="2" fontId="28" fillId="24" borderId="22" xfId="0" applyNumberFormat="1" applyFont="1" applyFill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2" fontId="28" fillId="0" borderId="14" xfId="0" applyNumberFormat="1" applyFont="1" applyBorder="1" applyAlignment="1">
      <alignment horizontal="right" vertical="center" wrapText="1"/>
    </xf>
    <xf numFmtId="0" fontId="57" fillId="26" borderId="16" xfId="0" applyFont="1" applyFill="1" applyBorder="1" applyAlignment="1">
      <alignment horizontal="left" vertical="center" wrapText="1"/>
    </xf>
    <xf numFmtId="0" fontId="27" fillId="26" borderId="16" xfId="0" applyFont="1" applyFill="1" applyBorder="1" applyAlignment="1">
      <alignment horizontal="center" vertical="center" wrapText="1"/>
    </xf>
    <xf numFmtId="0" fontId="57" fillId="26" borderId="16" xfId="0" applyFont="1" applyFill="1" applyBorder="1" applyAlignment="1">
      <alignment horizontal="center" vertical="center" wrapText="1"/>
    </xf>
    <xf numFmtId="2" fontId="28" fillId="26" borderId="16" xfId="65" applyNumberFormat="1" applyFont="1" applyFill="1" applyBorder="1" applyAlignment="1">
      <alignment horizontal="right" vertical="center" wrapText="1"/>
    </xf>
    <xf numFmtId="0" fontId="55" fillId="0" borderId="12" xfId="0" applyFont="1" applyFill="1" applyBorder="1" applyAlignment="1">
      <alignment horizontal="right" vertical="center" wrapText="1"/>
    </xf>
    <xf numFmtId="43" fontId="28" fillId="0" borderId="0" xfId="0" applyNumberFormat="1" applyFont="1" applyFill="1" applyAlignment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2" fontId="28" fillId="0" borderId="12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 wrapText="1"/>
    </xf>
    <xf numFmtId="0" fontId="28" fillId="24" borderId="11" xfId="0" applyFont="1" applyFill="1" applyBorder="1" applyAlignment="1">
      <alignment horizontal="right" vertical="center" wrapText="1"/>
    </xf>
    <xf numFmtId="2" fontId="28" fillId="0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24" borderId="11" xfId="0" applyFont="1" applyFill="1" applyBorder="1" applyAlignment="1" applyProtection="1">
      <alignment horizontal="center" vertical="center" wrapText="1"/>
    </xf>
    <xf numFmtId="0" fontId="43" fillId="24" borderId="17" xfId="0" applyFont="1" applyFill="1" applyBorder="1" applyAlignment="1" applyProtection="1">
      <alignment horizontal="center" vertical="center" wrapText="1"/>
    </xf>
    <xf numFmtId="0" fontId="43" fillId="24" borderId="17" xfId="0" applyFont="1" applyFill="1" applyBorder="1" applyAlignment="1">
      <alignment horizontal="left" vertical="center" wrapText="1"/>
    </xf>
    <xf numFmtId="0" fontId="45" fillId="24" borderId="23" xfId="0" applyFont="1" applyFill="1" applyBorder="1" applyAlignment="1">
      <alignment horizontal="left" vertical="center" wrapText="1"/>
    </xf>
    <xf numFmtId="0" fontId="45" fillId="24" borderId="24" xfId="0" applyFont="1" applyFill="1" applyBorder="1" applyAlignment="1">
      <alignment horizontal="left" vertical="center" wrapText="1"/>
    </xf>
    <xf numFmtId="0" fontId="43" fillId="24" borderId="11" xfId="0" applyFont="1" applyFill="1" applyBorder="1" applyAlignment="1">
      <alignment horizontal="center" vertical="center" wrapText="1"/>
    </xf>
    <xf numFmtId="43" fontId="43" fillId="24" borderId="11" xfId="0" applyNumberFormat="1" applyFont="1" applyFill="1" applyBorder="1" applyAlignment="1">
      <alignment horizontal="center" vertical="center" wrapText="1"/>
    </xf>
    <xf numFmtId="0" fontId="43" fillId="24" borderId="0" xfId="0" applyFont="1" applyFill="1" applyAlignment="1">
      <alignment vertical="center"/>
    </xf>
    <xf numFmtId="0" fontId="45" fillId="24" borderId="25" xfId="0" applyFont="1" applyFill="1" applyBorder="1" applyAlignment="1">
      <alignment horizontal="left" vertical="center" wrapText="1"/>
    </xf>
    <xf numFmtId="0" fontId="45" fillId="24" borderId="26" xfId="0" applyFont="1" applyFill="1" applyBorder="1" applyAlignment="1">
      <alignment horizontal="left" vertical="center" wrapText="1"/>
    </xf>
    <xf numFmtId="0" fontId="43" fillId="24" borderId="12" xfId="0" applyFont="1" applyFill="1" applyBorder="1" applyAlignment="1">
      <alignment horizontal="center" vertical="center" wrapText="1"/>
    </xf>
    <xf numFmtId="43" fontId="43" fillId="24" borderId="12" xfId="0" applyNumberFormat="1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left" vertical="center" wrapText="1"/>
    </xf>
    <xf numFmtId="0" fontId="47" fillId="24" borderId="22" xfId="0" applyFont="1" applyFill="1" applyBorder="1" applyAlignment="1">
      <alignment horizontal="left" vertical="center" wrapText="1"/>
    </xf>
    <xf numFmtId="0" fontId="48" fillId="24" borderId="25" xfId="0" applyFont="1" applyFill="1" applyBorder="1" applyAlignment="1">
      <alignment horizontal="left" vertical="center" wrapText="1"/>
    </xf>
    <xf numFmtId="0" fontId="48" fillId="24" borderId="26" xfId="0" applyFont="1" applyFill="1" applyBorder="1" applyAlignment="1">
      <alignment horizontal="left" vertical="center" wrapText="1"/>
    </xf>
    <xf numFmtId="0" fontId="47" fillId="24" borderId="12" xfId="0" applyFont="1" applyFill="1" applyBorder="1" applyAlignment="1">
      <alignment horizontal="center" vertical="center" wrapText="1"/>
    </xf>
    <xf numFmtId="0" fontId="42" fillId="25" borderId="16" xfId="0" applyFont="1" applyFill="1" applyBorder="1" applyAlignment="1">
      <alignment vertical="center" wrapText="1"/>
    </xf>
    <xf numFmtId="0" fontId="42" fillId="25" borderId="16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right" vertical="center" wrapText="1"/>
    </xf>
    <xf numFmtId="2" fontId="43" fillId="0" borderId="0" xfId="0" applyNumberFormat="1" applyFont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2" fontId="43" fillId="0" borderId="0" xfId="28" applyNumberFormat="1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 applyProtection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26" borderId="16" xfId="0" applyFont="1" applyFill="1" applyBorder="1" applyAlignment="1" applyProtection="1">
      <alignment horizontal="center" vertical="center" wrapText="1"/>
    </xf>
    <xf numFmtId="2" fontId="42" fillId="26" borderId="16" xfId="0" applyNumberFormat="1" applyFont="1" applyFill="1" applyBorder="1" applyAlignment="1">
      <alignment vertical="center" wrapText="1"/>
    </xf>
    <xf numFmtId="2" fontId="46" fillId="26" borderId="16" xfId="0" applyNumberFormat="1" applyFont="1" applyFill="1" applyBorder="1" applyAlignment="1">
      <alignment vertical="center" wrapText="1"/>
    </xf>
    <xf numFmtId="2" fontId="43" fillId="26" borderId="16" xfId="0" applyNumberFormat="1" applyFont="1" applyFill="1" applyBorder="1" applyAlignment="1">
      <alignment horizontal="center" vertical="center" wrapText="1"/>
    </xf>
    <xf numFmtId="43" fontId="43" fillId="26" borderId="16" xfId="28" applyNumberFormat="1" applyFont="1" applyFill="1" applyBorder="1" applyAlignment="1" applyProtection="1">
      <alignment horizontal="center" vertical="center" wrapText="1"/>
    </xf>
    <xf numFmtId="0" fontId="43" fillId="24" borderId="21" xfId="0" applyFont="1" applyFill="1" applyBorder="1" applyAlignment="1" applyProtection="1">
      <alignment horizontal="center" vertical="center" wrapText="1"/>
    </xf>
    <xf numFmtId="0" fontId="43" fillId="24" borderId="27" xfId="0" applyFont="1" applyFill="1" applyBorder="1" applyAlignment="1" applyProtection="1">
      <alignment horizontal="center" vertical="center" wrapText="1"/>
    </xf>
    <xf numFmtId="0" fontId="43" fillId="24" borderId="28" xfId="0" applyFont="1" applyFill="1" applyBorder="1" applyAlignment="1">
      <alignment horizontal="left" vertical="center" wrapText="1"/>
    </xf>
    <xf numFmtId="0" fontId="45" fillId="24" borderId="29" xfId="0" applyFont="1" applyFill="1" applyBorder="1" applyAlignment="1">
      <alignment horizontal="left" vertical="center" wrapText="1"/>
    </xf>
    <xf numFmtId="0" fontId="45" fillId="24" borderId="30" xfId="0" applyFont="1" applyFill="1" applyBorder="1" applyAlignment="1">
      <alignment horizontal="left" vertical="center" wrapText="1"/>
    </xf>
    <xf numFmtId="0" fontId="43" fillId="24" borderId="13" xfId="0" applyFont="1" applyFill="1" applyBorder="1" applyAlignment="1">
      <alignment horizontal="center" vertical="center" wrapText="1"/>
    </xf>
    <xf numFmtId="43" fontId="43" fillId="24" borderId="13" xfId="0" applyNumberFormat="1" applyFont="1" applyFill="1" applyBorder="1" applyAlignment="1">
      <alignment horizontal="center" vertical="center" wrapText="1"/>
    </xf>
    <xf numFmtId="0" fontId="42" fillId="26" borderId="16" xfId="0" applyFont="1" applyFill="1" applyBorder="1" applyAlignment="1">
      <alignment horizontal="left" vertical="center" wrapText="1"/>
    </xf>
    <xf numFmtId="0" fontId="45" fillId="26" borderId="16" xfId="0" applyFont="1" applyFill="1" applyBorder="1" applyAlignment="1">
      <alignment horizontal="left" vertical="center" wrapText="1"/>
    </xf>
    <xf numFmtId="0" fontId="43" fillId="26" borderId="16" xfId="0" applyFont="1" applyFill="1" applyBorder="1" applyAlignment="1">
      <alignment horizontal="center" vertical="center" wrapText="1"/>
    </xf>
    <xf numFmtId="43" fontId="43" fillId="26" borderId="16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2" fontId="49" fillId="26" borderId="31" xfId="0" applyNumberFormat="1" applyFont="1" applyFill="1" applyBorder="1" applyAlignment="1">
      <alignment vertical="center" wrapText="1"/>
    </xf>
    <xf numFmtId="2" fontId="49" fillId="26" borderId="32" xfId="0" applyNumberFormat="1" applyFont="1" applyFill="1" applyBorder="1" applyAlignment="1">
      <alignment vertical="center" wrapText="1"/>
    </xf>
    <xf numFmtId="2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8" fillId="24" borderId="13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42" fillId="26" borderId="16" xfId="0" applyFont="1" applyFill="1" applyBorder="1" applyAlignment="1">
      <alignment vertical="center" wrapText="1"/>
    </xf>
    <xf numFmtId="189" fontId="28" fillId="0" borderId="0" xfId="0" applyNumberFormat="1" applyFont="1" applyFill="1" applyBorder="1" applyAlignment="1">
      <alignment horizontal="right" vertical="center"/>
    </xf>
    <xf numFmtId="189" fontId="28" fillId="26" borderId="16" xfId="28" applyNumberFormat="1" applyFont="1" applyFill="1" applyBorder="1" applyAlignment="1" applyProtection="1">
      <alignment horizontal="right" vertical="center" wrapText="1"/>
    </xf>
    <xf numFmtId="189" fontId="28" fillId="0" borderId="12" xfId="0" applyNumberFormat="1" applyFont="1" applyFill="1" applyBorder="1" applyAlignment="1">
      <alignment horizontal="right" vertical="center" wrapText="1"/>
    </xf>
    <xf numFmtId="189" fontId="28" fillId="24" borderId="11" xfId="0" applyNumberFormat="1" applyFont="1" applyFill="1" applyBorder="1" applyAlignment="1">
      <alignment horizontal="right" vertical="center" wrapText="1"/>
    </xf>
    <xf numFmtId="189" fontId="28" fillId="24" borderId="12" xfId="0" applyNumberFormat="1" applyFont="1" applyFill="1" applyBorder="1" applyAlignment="1">
      <alignment horizontal="right" vertical="center" wrapText="1"/>
    </xf>
    <xf numFmtId="189" fontId="28" fillId="0" borderId="14" xfId="28" applyNumberFormat="1" applyFont="1" applyFill="1" applyBorder="1" applyAlignment="1" applyProtection="1">
      <alignment horizontal="right" vertical="center" wrapText="1"/>
    </xf>
    <xf numFmtId="189" fontId="28" fillId="0" borderId="11" xfId="0" applyNumberFormat="1" applyFont="1" applyFill="1" applyBorder="1" applyAlignment="1">
      <alignment horizontal="right" vertical="center" wrapText="1"/>
    </xf>
    <xf numFmtId="189" fontId="28" fillId="24" borderId="14" xfId="0" applyNumberFormat="1" applyFont="1" applyFill="1" applyBorder="1" applyAlignment="1">
      <alignment horizontal="right" vertical="center" wrapText="1"/>
    </xf>
    <xf numFmtId="189" fontId="27" fillId="25" borderId="16" xfId="0" applyNumberFormat="1" applyFont="1" applyFill="1" applyBorder="1" applyAlignment="1">
      <alignment horizontal="right" vertical="center" wrapText="1"/>
    </xf>
    <xf numFmtId="189" fontId="28" fillId="0" borderId="0" xfId="0" applyNumberFormat="1" applyFont="1" applyAlignment="1">
      <alignment horizontal="right" vertical="center" wrapText="1"/>
    </xf>
    <xf numFmtId="189" fontId="28" fillId="0" borderId="0" xfId="0" applyNumberFormat="1" applyFont="1" applyAlignment="1">
      <alignment horizontal="right" vertical="center"/>
    </xf>
    <xf numFmtId="2" fontId="28" fillId="0" borderId="14" xfId="0" applyNumberFormat="1" applyFont="1" applyFill="1" applyBorder="1" applyAlignment="1">
      <alignment vertical="center" wrapText="1"/>
    </xf>
    <xf numFmtId="0" fontId="28" fillId="0" borderId="12" xfId="75" applyFont="1" applyFill="1" applyBorder="1" applyAlignment="1">
      <alignment vertical="center" wrapText="1"/>
    </xf>
    <xf numFmtId="2" fontId="28" fillId="0" borderId="12" xfId="64" applyNumberFormat="1" applyFont="1" applyFill="1" applyBorder="1" applyAlignment="1">
      <alignment horizontal="right" vertical="center" wrapText="1"/>
    </xf>
    <xf numFmtId="0" fontId="28" fillId="0" borderId="12" xfId="64" applyNumberFormat="1" applyFont="1" applyFill="1" applyBorder="1" applyAlignment="1" applyProtection="1">
      <alignment horizontal="justify" vertical="top" wrapText="1"/>
    </xf>
    <xf numFmtId="0" fontId="28" fillId="0" borderId="17" xfId="0" applyFont="1" applyFill="1" applyBorder="1" applyAlignment="1" applyProtection="1">
      <alignment horizontal="center" vertical="center" wrapText="1"/>
    </xf>
    <xf numFmtId="43" fontId="28" fillId="0" borderId="15" xfId="28" applyNumberFormat="1" applyFont="1" applyFill="1" applyBorder="1" applyAlignment="1" applyProtection="1">
      <alignment horizontal="center" vertical="center" wrapText="1"/>
    </xf>
    <xf numFmtId="0" fontId="28" fillId="0" borderId="12" xfId="64" applyFont="1" applyFill="1" applyBorder="1" applyAlignment="1" applyProtection="1">
      <alignment horizontal="right" vertical="center" wrapText="1"/>
      <protection locked="0"/>
    </xf>
    <xf numFmtId="0" fontId="28" fillId="0" borderId="12" xfId="64" applyFont="1" applyFill="1" applyBorder="1" applyAlignment="1" applyProtection="1">
      <alignment horizontal="left" vertical="center" wrapText="1"/>
      <protection locked="0"/>
    </xf>
    <xf numFmtId="0" fontId="28" fillId="0" borderId="13" xfId="64" applyFont="1" applyFill="1" applyBorder="1" applyAlignment="1" applyProtection="1">
      <alignment horizontal="right" vertical="center" wrapText="1"/>
      <protection locked="0"/>
    </xf>
    <xf numFmtId="4" fontId="55" fillId="0" borderId="12" xfId="0" applyNumberFormat="1" applyFont="1" applyFill="1" applyBorder="1" applyAlignment="1">
      <alignment horizontal="right" vertical="center" wrapText="1"/>
    </xf>
    <xf numFmtId="4" fontId="55" fillId="0" borderId="12" xfId="0" applyNumberFormat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2" fontId="28" fillId="0" borderId="21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75" applyFont="1" applyFill="1" applyBorder="1" applyAlignment="1">
      <alignment vertical="center" wrapText="1"/>
    </xf>
    <xf numFmtId="190" fontId="28" fillId="0" borderId="0" xfId="0" applyNumberFormat="1" applyFont="1" applyAlignment="1">
      <alignment horizontal="center" vertical="center" wrapText="1"/>
    </xf>
    <xf numFmtId="0" fontId="28" fillId="0" borderId="33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/>
    </xf>
    <xf numFmtId="2" fontId="28" fillId="0" borderId="12" xfId="64" applyNumberFormat="1" applyFont="1" applyFill="1" applyBorder="1" applyAlignment="1">
      <alignment horizontal="center" vertical="center" wrapText="1" shrinkToFit="1"/>
    </xf>
    <xf numFmtId="2" fontId="28" fillId="0" borderId="12" xfId="64" applyNumberFormat="1" applyFont="1" applyFill="1" applyBorder="1" applyAlignment="1">
      <alignment horizontal="right" vertical="center" wrapText="1" shrinkToFit="1"/>
    </xf>
    <xf numFmtId="2" fontId="28" fillId="0" borderId="12" xfId="64" applyNumberFormat="1" applyFont="1" applyFill="1" applyBorder="1" applyAlignment="1" applyProtection="1">
      <alignment horizontal="right" vertical="center" wrapText="1" shrinkToFit="1"/>
    </xf>
    <xf numFmtId="0" fontId="28" fillId="0" borderId="12" xfId="64" applyFont="1" applyFill="1" applyBorder="1" applyAlignment="1" applyProtection="1">
      <alignment horizontal="center" vertical="center" wrapText="1" shrinkToFit="1"/>
      <protection locked="0"/>
    </xf>
    <xf numFmtId="0" fontId="28" fillId="0" borderId="13" xfId="64" applyFont="1" applyFill="1" applyBorder="1" applyAlignment="1" applyProtection="1">
      <alignment horizontal="center" vertical="center" wrapText="1" shrinkToFit="1"/>
      <protection locked="0"/>
    </xf>
    <xf numFmtId="0" fontId="28" fillId="0" borderId="0" xfId="0" applyFont="1" applyFill="1" applyAlignment="1">
      <alignment horizontal="left" vertical="center" wrapText="1"/>
    </xf>
    <xf numFmtId="0" fontId="28" fillId="25" borderId="16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8" fillId="0" borderId="11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vertical="center"/>
    </xf>
    <xf numFmtId="0" fontId="28" fillId="26" borderId="16" xfId="0" applyFont="1" applyFill="1" applyBorder="1" applyAlignment="1" applyProtection="1">
      <alignment horizontal="center" vertical="center"/>
    </xf>
    <xf numFmtId="0" fontId="28" fillId="24" borderId="11" xfId="0" applyFont="1" applyFill="1" applyBorder="1" applyAlignment="1" applyProtection="1">
      <alignment horizontal="center" vertical="center"/>
    </xf>
    <xf numFmtId="0" fontId="28" fillId="24" borderId="17" xfId="0" applyFont="1" applyFill="1" applyBorder="1" applyAlignment="1" applyProtection="1">
      <alignment horizontal="center" vertical="center"/>
    </xf>
    <xf numFmtId="0" fontId="32" fillId="24" borderId="23" xfId="0" applyFont="1" applyFill="1" applyBorder="1" applyAlignment="1">
      <alignment horizontal="left" vertical="center"/>
    </xf>
    <xf numFmtId="43" fontId="28" fillId="24" borderId="11" xfId="0" applyNumberFormat="1" applyFont="1" applyFill="1" applyBorder="1" applyAlignment="1">
      <alignment horizontal="center" vertical="center"/>
    </xf>
    <xf numFmtId="0" fontId="28" fillId="24" borderId="22" xfId="0" applyFont="1" applyFill="1" applyBorder="1" applyAlignment="1">
      <alignment horizontal="left" vertical="center"/>
    </xf>
    <xf numFmtId="0" fontId="32" fillId="24" borderId="25" xfId="0" applyFont="1" applyFill="1" applyBorder="1" applyAlignment="1">
      <alignment horizontal="left" vertical="center"/>
    </xf>
    <xf numFmtId="0" fontId="32" fillId="24" borderId="26" xfId="0" applyFont="1" applyFill="1" applyBorder="1" applyAlignment="1">
      <alignment horizontal="left" vertical="center"/>
    </xf>
    <xf numFmtId="43" fontId="28" fillId="24" borderId="12" xfId="0" applyNumberFormat="1" applyFont="1" applyFill="1" applyBorder="1" applyAlignment="1">
      <alignment horizontal="center" vertical="center"/>
    </xf>
    <xf numFmtId="0" fontId="28" fillId="24" borderId="22" xfId="0" applyFont="1" applyFill="1" applyBorder="1" applyAlignment="1">
      <alignment vertical="center"/>
    </xf>
    <xf numFmtId="0" fontId="32" fillId="24" borderId="25" xfId="0" applyFont="1" applyFill="1" applyBorder="1" applyAlignment="1">
      <alignment vertical="center"/>
    </xf>
    <xf numFmtId="0" fontId="32" fillId="24" borderId="26" xfId="0" applyFont="1" applyFill="1" applyBorder="1" applyAlignment="1">
      <alignment vertical="center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32" fillId="0" borderId="26" xfId="0" applyFont="1" applyFill="1" applyBorder="1" applyAlignment="1">
      <alignment vertical="center"/>
    </xf>
    <xf numFmtId="43" fontId="28" fillId="0" borderId="12" xfId="0" applyNumberFormat="1" applyFont="1" applyFill="1" applyBorder="1" applyAlignment="1">
      <alignment horizontal="center" vertical="center"/>
    </xf>
    <xf numFmtId="0" fontId="28" fillId="24" borderId="21" xfId="0" applyFont="1" applyFill="1" applyBorder="1" applyAlignment="1" applyProtection="1">
      <alignment horizontal="center" vertical="center"/>
    </xf>
    <xf numFmtId="0" fontId="28" fillId="24" borderId="27" xfId="0" applyFont="1" applyFill="1" applyBorder="1" applyAlignment="1" applyProtection="1">
      <alignment horizontal="center" vertical="center"/>
    </xf>
    <xf numFmtId="0" fontId="28" fillId="24" borderId="28" xfId="0" applyFont="1" applyFill="1" applyBorder="1" applyAlignment="1">
      <alignment vertical="center"/>
    </xf>
    <xf numFmtId="0" fontId="32" fillId="24" borderId="29" xfId="0" applyFont="1" applyFill="1" applyBorder="1" applyAlignment="1">
      <alignment vertical="center"/>
    </xf>
    <xf numFmtId="0" fontId="32" fillId="24" borderId="30" xfId="0" applyFont="1" applyFill="1" applyBorder="1" applyAlignment="1">
      <alignment vertical="center"/>
    </xf>
    <xf numFmtId="43" fontId="28" fillId="24" borderId="13" xfId="0" applyNumberFormat="1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vertical="center"/>
    </xf>
    <xf numFmtId="0" fontId="32" fillId="24" borderId="23" xfId="0" applyFont="1" applyFill="1" applyBorder="1" applyAlignment="1">
      <alignment vertical="center"/>
    </xf>
    <xf numFmtId="0" fontId="32" fillId="24" borderId="24" xfId="0" applyFont="1" applyFill="1" applyBorder="1" applyAlignment="1">
      <alignment vertical="center"/>
    </xf>
    <xf numFmtId="0" fontId="27" fillId="25" borderId="16" xfId="0" applyFont="1" applyFill="1" applyBorder="1" applyAlignment="1">
      <alignment vertical="center"/>
    </xf>
    <xf numFmtId="0" fontId="27" fillId="25" borderId="16" xfId="0" applyFont="1" applyFill="1" applyBorder="1" applyAlignment="1">
      <alignment horizontal="left" vertical="center"/>
    </xf>
    <xf numFmtId="0" fontId="43" fillId="25" borderId="16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2" fontId="28" fillId="24" borderId="13" xfId="0" applyNumberFormat="1" applyFont="1" applyFill="1" applyBorder="1" applyAlignment="1">
      <alignment horizontal="right" vertical="center" wrapText="1"/>
    </xf>
    <xf numFmtId="2" fontId="28" fillId="24" borderId="11" xfId="0" applyNumberFormat="1" applyFont="1" applyFill="1" applyBorder="1" applyAlignment="1">
      <alignment horizontal="right" vertical="center" wrapText="1"/>
    </xf>
    <xf numFmtId="0" fontId="27" fillId="26" borderId="16" xfId="65" applyFont="1" applyFill="1" applyBorder="1" applyAlignment="1">
      <alignment vertical="center" wrapText="1"/>
    </xf>
    <xf numFmtId="0" fontId="28" fillId="26" borderId="16" xfId="0" applyFont="1" applyFill="1" applyBorder="1" applyAlignment="1"/>
    <xf numFmtId="0" fontId="28" fillId="0" borderId="14" xfId="0" applyFont="1" applyFill="1" applyBorder="1" applyAlignment="1">
      <alignment wrapText="1"/>
    </xf>
    <xf numFmtId="188" fontId="28" fillId="24" borderId="14" xfId="0" applyNumberFormat="1" applyFont="1" applyFill="1" applyBorder="1" applyAlignment="1">
      <alignment horizontal="right" vertical="center" wrapText="1"/>
    </xf>
    <xf numFmtId="0" fontId="37" fillId="0" borderId="15" xfId="30" applyFont="1" applyFill="1" applyBorder="1" applyAlignment="1">
      <alignment horizontal="center" vertical="center" wrapText="1"/>
    </xf>
    <xf numFmtId="188" fontId="28" fillId="24" borderId="15" xfId="0" applyNumberFormat="1" applyFont="1" applyFill="1" applyBorder="1" applyAlignment="1">
      <alignment horizontal="right" vertical="center" wrapText="1"/>
    </xf>
    <xf numFmtId="188" fontId="28" fillId="24" borderId="11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right" wrapText="1"/>
    </xf>
    <xf numFmtId="0" fontId="32" fillId="24" borderId="2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25" borderId="18" xfId="0" applyFont="1" applyFill="1" applyBorder="1" applyAlignment="1" applyProtection="1">
      <alignment horizontal="center" vertical="center" wrapText="1"/>
    </xf>
    <xf numFmtId="0" fontId="27" fillId="25" borderId="19" xfId="0" applyFont="1" applyFill="1" applyBorder="1" applyAlignment="1" applyProtection="1">
      <alignment horizontal="center" vertical="center" wrapText="1"/>
    </xf>
    <xf numFmtId="0" fontId="27" fillId="25" borderId="16" xfId="0" applyFont="1" applyFill="1" applyBorder="1" applyAlignment="1" applyProtection="1">
      <alignment horizontal="center" vertical="center" wrapText="1"/>
    </xf>
    <xf numFmtId="189" fontId="27" fillId="25" borderId="16" xfId="0" applyNumberFormat="1" applyFont="1" applyFill="1" applyBorder="1" applyAlignment="1" applyProtection="1">
      <alignment horizontal="right" vertical="center" wrapText="1"/>
    </xf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25" borderId="18" xfId="0" applyFont="1" applyFill="1" applyBorder="1" applyAlignment="1" applyProtection="1">
      <alignment horizontal="center" vertical="center" wrapText="1"/>
    </xf>
    <xf numFmtId="0" fontId="42" fillId="25" borderId="19" xfId="0" applyFont="1" applyFill="1" applyBorder="1" applyAlignment="1" applyProtection="1">
      <alignment horizontal="center" vertical="center" wrapText="1"/>
    </xf>
    <xf numFmtId="0" fontId="42" fillId="25" borderId="34" xfId="0" applyFont="1" applyFill="1" applyBorder="1" applyAlignment="1">
      <alignment horizontal="right" vertical="center" wrapText="1"/>
    </xf>
    <xf numFmtId="0" fontId="42" fillId="25" borderId="31" xfId="0" applyFont="1" applyFill="1" applyBorder="1" applyAlignment="1">
      <alignment horizontal="right" vertical="center" wrapText="1"/>
    </xf>
    <xf numFmtId="0" fontId="42" fillId="25" borderId="32" xfId="0" applyFont="1" applyFill="1" applyBorder="1" applyAlignment="1">
      <alignment horizontal="right" vertical="center" wrapText="1"/>
    </xf>
    <xf numFmtId="0" fontId="42" fillId="25" borderId="35" xfId="0" applyFont="1" applyFill="1" applyBorder="1" applyAlignment="1" applyProtection="1">
      <alignment horizontal="center" vertical="center" wrapText="1"/>
    </xf>
    <xf numFmtId="0" fontId="42" fillId="25" borderId="36" xfId="0" applyFont="1" applyFill="1" applyBorder="1" applyAlignment="1" applyProtection="1">
      <alignment horizontal="center" vertical="center" wrapText="1"/>
    </xf>
    <xf numFmtId="0" fontId="42" fillId="25" borderId="37" xfId="0" applyFont="1" applyFill="1" applyBorder="1" applyAlignment="1" applyProtection="1">
      <alignment horizontal="center" vertical="center" wrapText="1"/>
    </xf>
    <xf numFmtId="0" fontId="42" fillId="25" borderId="38" xfId="0" applyFont="1" applyFill="1" applyBorder="1" applyAlignment="1" applyProtection="1">
      <alignment horizontal="center" vertical="center" wrapText="1"/>
    </xf>
    <xf numFmtId="0" fontId="42" fillId="25" borderId="33" xfId="0" applyFont="1" applyFill="1" applyBorder="1" applyAlignment="1" applyProtection="1">
      <alignment horizontal="center" vertical="center" wrapText="1"/>
    </xf>
    <xf numFmtId="0" fontId="42" fillId="25" borderId="39" xfId="0" applyFont="1" applyFill="1" applyBorder="1" applyAlignment="1" applyProtection="1">
      <alignment horizontal="center" vertical="center" wrapText="1"/>
    </xf>
    <xf numFmtId="0" fontId="42" fillId="25" borderId="16" xfId="0" applyFont="1" applyFill="1" applyBorder="1" applyAlignment="1" applyProtection="1">
      <alignment horizontal="center" vertical="center" wrapText="1"/>
    </xf>
    <xf numFmtId="0" fontId="27" fillId="25" borderId="34" xfId="0" applyFont="1" applyFill="1" applyBorder="1" applyAlignment="1">
      <alignment horizontal="right" vertical="center"/>
    </xf>
    <xf numFmtId="0" fontId="27" fillId="25" borderId="31" xfId="0" applyFont="1" applyFill="1" applyBorder="1" applyAlignment="1">
      <alignment horizontal="right" vertical="center"/>
    </xf>
    <xf numFmtId="0" fontId="27" fillId="25" borderId="32" xfId="0" applyFont="1" applyFill="1" applyBorder="1" applyAlignment="1">
      <alignment horizontal="right" vertical="center"/>
    </xf>
    <xf numFmtId="0" fontId="27" fillId="25" borderId="35" xfId="0" applyFont="1" applyFill="1" applyBorder="1" applyAlignment="1" applyProtection="1">
      <alignment horizontal="center" vertical="center" wrapText="1"/>
    </xf>
    <xf numFmtId="0" fontId="27" fillId="25" borderId="36" xfId="0" applyFont="1" applyFill="1" applyBorder="1" applyAlignment="1" applyProtection="1">
      <alignment horizontal="center" vertical="center" wrapText="1"/>
    </xf>
    <xf numFmtId="0" fontId="27" fillId="25" borderId="37" xfId="0" applyFont="1" applyFill="1" applyBorder="1" applyAlignment="1" applyProtection="1">
      <alignment horizontal="center" vertical="center" wrapText="1"/>
    </xf>
    <xf numFmtId="0" fontId="27" fillId="25" borderId="38" xfId="0" applyFont="1" applyFill="1" applyBorder="1" applyAlignment="1" applyProtection="1">
      <alignment horizontal="center" vertical="center" wrapText="1"/>
    </xf>
    <xf numFmtId="0" fontId="27" fillId="25" borderId="33" xfId="0" applyFont="1" applyFill="1" applyBorder="1" applyAlignment="1" applyProtection="1">
      <alignment horizontal="center" vertical="center" wrapText="1"/>
    </xf>
    <xf numFmtId="0" fontId="27" fillId="25" borderId="39" xfId="0" applyFont="1" applyFill="1" applyBorder="1" applyAlignment="1" applyProtection="1">
      <alignment horizontal="center" vertical="center" wrapText="1"/>
    </xf>
    <xf numFmtId="0" fontId="42" fillId="26" borderId="34" xfId="0" applyFont="1" applyFill="1" applyBorder="1" applyAlignment="1">
      <alignment horizontal="center" vertical="center" wrapText="1"/>
    </xf>
    <xf numFmtId="0" fontId="42" fillId="26" borderId="31" xfId="0" applyFont="1" applyFill="1" applyBorder="1" applyAlignment="1">
      <alignment horizontal="center" vertical="center" wrapText="1"/>
    </xf>
    <xf numFmtId="0" fontId="42" fillId="26" borderId="32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</cellXfs>
  <cellStyles count="8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cel Built-in Normal 1" xfId="30"/>
    <cellStyle name="Explanatory Text 2" xfId="31"/>
    <cellStyle name="Good" xfId="32" builtinId="26" customBuiltin="1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abi" xfId="39"/>
    <cellStyle name="Lietojamais" xfId="40"/>
    <cellStyle name="Linked Cell 2" xfId="41"/>
    <cellStyle name="Neutral 2" xfId="42"/>
    <cellStyle name="Normal" xfId="0" builtinId="0"/>
    <cellStyle name="Normal 10" xfId="43"/>
    <cellStyle name="Normal 11" xfId="44"/>
    <cellStyle name="Normal 12" xfId="45"/>
    <cellStyle name="Normal 2" xfId="46"/>
    <cellStyle name="Normal 2 2" xfId="47"/>
    <cellStyle name="Normal 2 2 2" xfId="48"/>
    <cellStyle name="Normal 2 3" xfId="49"/>
    <cellStyle name="Normal 2 4" xfId="50"/>
    <cellStyle name="Normal 2_Vidus 5_VS_20120424" xfId="51"/>
    <cellStyle name="Normal 3" xfId="52"/>
    <cellStyle name="Normal 4" xfId="53"/>
    <cellStyle name="Normal 4 2" xfId="54"/>
    <cellStyle name="Normal 5" xfId="55"/>
    <cellStyle name="Normal 6" xfId="56"/>
    <cellStyle name="Normal 6 2" xfId="57"/>
    <cellStyle name="Normal 6_APJOMI CENAS korigeta Vidus iela tame (14.11.2013)" xfId="58"/>
    <cellStyle name="Normal 7" xfId="59"/>
    <cellStyle name="Normal 8" xfId="60"/>
    <cellStyle name="Normal 8 2" xfId="61"/>
    <cellStyle name="Normal 8_APJOMI CENAS korigeta Vidus iela tame (14.11.2013)" xfId="62"/>
    <cellStyle name="Normal 9" xfId="63"/>
    <cellStyle name="Normal_DarbuApjomi-13-30-10korpuss-22.11.2013." xfId="64"/>
    <cellStyle name="Normal_RS_spec_vent_17.05" xfId="65"/>
    <cellStyle name="Note 2" xfId="66"/>
    <cellStyle name="Output 2" xfId="67"/>
    <cellStyle name="Parastais_Abora-Pasaka" xfId="68"/>
    <cellStyle name="Parasts 2" xfId="69"/>
    <cellStyle name="Parasts 3" xfId="70"/>
    <cellStyle name="Parasts 5" xfId="71"/>
    <cellStyle name="Percent 2" xfId="72"/>
    <cellStyle name="Percent 3" xfId="73"/>
    <cellStyle name="Percent 4" xfId="74"/>
    <cellStyle name="Style 1" xfId="75"/>
    <cellStyle name="Style 1 2" xfId="76"/>
    <cellStyle name="Title 2" xfId="77"/>
    <cellStyle name="Total 2" xfId="78"/>
    <cellStyle name="Warning Text 2" xfId="79"/>
    <cellStyle name="Обычный_2009-04-27_PED IESN" xfId="80"/>
    <cellStyle name="Стиль 1" xfId="8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/AppData/Local/Microsoft/Windows/INetCache/Content.Outlook/HG2PJ6ES/20180711_Tame_Jahtotaju_servisa_eka_Final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vn.kopt."/>
      <sheetName val="Kops.1"/>
      <sheetName val="1-1.VC"/>
      <sheetName val="1-2.BK"/>
      <sheetName val="Kops.2"/>
      <sheetName val="2-1.ŪK"/>
      <sheetName val="2-2.A"/>
      <sheetName val="2-3.V"/>
      <sheetName val="2-4.EL"/>
      <sheetName val="2-5.VS"/>
      <sheetName val="2-6.UAS"/>
      <sheetName val="2-7.ŪKT"/>
      <sheetName val="2-8.ELT"/>
      <sheetName val="2-9.Lifts"/>
      <sheetName val="2-10.Gāze"/>
      <sheetName val="Kops.3"/>
      <sheetName val="3-1.LAB"/>
    </sheetNames>
    <sheetDataSet>
      <sheetData sheetId="0">
        <row r="10">
          <cell r="A10" t="str">
            <v>Objekta nosaukums: Jahtotāj servisa ēka</v>
          </cell>
        </row>
        <row r="11">
          <cell r="A11" t="str">
            <v>Būves nosaukums: Jahtotāju servisa ēkas jaunbūve</v>
          </cell>
        </row>
        <row r="12">
          <cell r="A12" t="str">
            <v>Objekta adrese: Oastas iela 4, Salacgrīva, Salacgrīvas novads</v>
          </cell>
        </row>
        <row r="13">
          <cell r="A13" t="str">
            <v>Pasūtījuma Nr. 1-39/37</v>
          </cell>
        </row>
      </sheetData>
      <sheetData sheetId="1"/>
      <sheetData sheetId="2">
        <row r="8">
          <cell r="A8" t="str">
            <v>Tāme sastādīta 2018.gada tirgus cenās pamatojoties uz būvprojektu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49"/>
  <sheetViews>
    <sheetView view="pageBreakPreview" topLeftCell="A109" zoomScaleNormal="184" zoomScaleSheetLayoutView="100" workbookViewId="0">
      <selection activeCell="C327" sqref="C327"/>
    </sheetView>
  </sheetViews>
  <sheetFormatPr defaultColWidth="5.5703125" defaultRowHeight="12.75"/>
  <cols>
    <col min="1" max="2" width="6.42578125" style="25" customWidth="1"/>
    <col min="3" max="3" width="41.42578125" style="25" customWidth="1"/>
    <col min="4" max="4" width="6.42578125" style="25" customWidth="1"/>
    <col min="5" max="5" width="12.28515625" style="25" customWidth="1"/>
    <col min="6" max="6" width="5.5703125" style="23"/>
    <col min="7" max="7" width="6.7109375" style="25" customWidth="1"/>
    <col min="8" max="16384" width="5.5703125" style="25"/>
  </cols>
  <sheetData>
    <row r="1" spans="1:7" s="3" customFormat="1">
      <c r="A1" s="332" t="s">
        <v>1085</v>
      </c>
      <c r="B1" s="332"/>
      <c r="C1" s="332"/>
      <c r="D1" s="332"/>
      <c r="E1" s="332"/>
      <c r="F1" s="2"/>
    </row>
    <row r="2" spans="1:7" s="3" customFormat="1">
      <c r="A2" s="333" t="s">
        <v>5</v>
      </c>
      <c r="B2" s="333"/>
      <c r="C2" s="333"/>
      <c r="D2" s="333"/>
      <c r="E2" s="333"/>
      <c r="F2" s="2"/>
    </row>
    <row r="3" spans="1:7" s="3" customFormat="1">
      <c r="A3" s="276"/>
      <c r="B3" s="276"/>
      <c r="C3" s="276"/>
      <c r="D3" s="276"/>
      <c r="E3" s="276"/>
      <c r="F3" s="2"/>
    </row>
    <row r="4" spans="1:7" s="3" customFormat="1">
      <c r="A4" s="4" t="s">
        <v>19</v>
      </c>
      <c r="B4" s="4"/>
      <c r="C4" s="2"/>
      <c r="D4" s="5"/>
      <c r="E4" s="5"/>
      <c r="F4" s="2"/>
    </row>
    <row r="5" spans="1:7" s="3" customFormat="1">
      <c r="A5" s="4" t="s">
        <v>13</v>
      </c>
      <c r="B5" s="4"/>
      <c r="C5" s="2"/>
      <c r="D5" s="5"/>
      <c r="E5" s="5"/>
      <c r="F5" s="2"/>
    </row>
    <row r="6" spans="1:7" s="3" customFormat="1">
      <c r="A6" s="4" t="s">
        <v>18</v>
      </c>
      <c r="B6" s="4"/>
      <c r="C6" s="2"/>
      <c r="D6" s="5"/>
      <c r="E6" s="5"/>
      <c r="F6" s="2"/>
    </row>
    <row r="7" spans="1:7" s="3" customFormat="1">
      <c r="A7" s="4" t="s">
        <v>1083</v>
      </c>
      <c r="B7" s="4"/>
      <c r="C7" s="2"/>
      <c r="D7" s="5"/>
      <c r="E7" s="5"/>
      <c r="F7" s="2"/>
    </row>
    <row r="8" spans="1:7" s="3" customFormat="1">
      <c r="A8" s="3" t="s">
        <v>12</v>
      </c>
      <c r="C8" s="6"/>
      <c r="D8" s="5"/>
      <c r="F8" s="2"/>
    </row>
    <row r="9" spans="1:7" s="3" customFormat="1">
      <c r="A9" s="3" t="s">
        <v>17</v>
      </c>
      <c r="C9" s="6"/>
      <c r="D9" s="5"/>
      <c r="F9" s="2"/>
    </row>
    <row r="10" spans="1:7" s="3" customFormat="1">
      <c r="A10" s="4"/>
      <c r="B10" s="4"/>
      <c r="C10" s="4"/>
      <c r="D10" s="2"/>
      <c r="F10" s="2"/>
    </row>
    <row r="11" spans="1:7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6" t="s">
        <v>2</v>
      </c>
      <c r="F11" s="2"/>
    </row>
    <row r="12" spans="1:7" s="3" customFormat="1" ht="55.5" customHeight="1">
      <c r="A12" s="335"/>
      <c r="B12" s="335"/>
      <c r="C12" s="335"/>
      <c r="D12" s="335"/>
      <c r="E12" s="336"/>
      <c r="F12" s="2"/>
    </row>
    <row r="13" spans="1:7" s="18" customFormat="1" ht="25.5">
      <c r="A13" s="76"/>
      <c r="B13" s="76" t="s">
        <v>370</v>
      </c>
      <c r="C13" s="77" t="s">
        <v>32</v>
      </c>
      <c r="D13" s="78"/>
      <c r="E13" s="79"/>
      <c r="F13" s="17"/>
    </row>
    <row r="14" spans="1:7" s="14" customFormat="1" ht="25.5">
      <c r="A14" s="176">
        <v>1</v>
      </c>
      <c r="B14" s="176" t="s">
        <v>84</v>
      </c>
      <c r="C14" s="166" t="s">
        <v>352</v>
      </c>
      <c r="D14" s="53" t="s">
        <v>90</v>
      </c>
      <c r="E14" s="58">
        <v>1</v>
      </c>
      <c r="F14" s="48"/>
      <c r="G14" s="48"/>
    </row>
    <row r="15" spans="1:7" s="14" customFormat="1" ht="38.25">
      <c r="A15" s="42">
        <f t="shared" ref="A15:A25" si="0">A14+1</f>
        <v>2</v>
      </c>
      <c r="B15" s="42" t="s">
        <v>84</v>
      </c>
      <c r="C15" s="15" t="s">
        <v>353</v>
      </c>
      <c r="D15" s="16" t="s">
        <v>354</v>
      </c>
      <c r="E15" s="43">
        <v>8</v>
      </c>
      <c r="F15" s="48"/>
      <c r="G15" s="48"/>
    </row>
    <row r="16" spans="1:7" s="14" customFormat="1" ht="25.5">
      <c r="A16" s="42">
        <f t="shared" si="0"/>
        <v>3</v>
      </c>
      <c r="B16" s="42" t="s">
        <v>84</v>
      </c>
      <c r="C16" s="15" t="s">
        <v>365</v>
      </c>
      <c r="D16" s="16" t="s">
        <v>90</v>
      </c>
      <c r="E16" s="43">
        <v>2</v>
      </c>
      <c r="F16" s="48"/>
      <c r="G16" s="48"/>
    </row>
    <row r="17" spans="1:7" s="14" customFormat="1" ht="25.5">
      <c r="A17" s="42">
        <f t="shared" si="0"/>
        <v>4</v>
      </c>
      <c r="B17" s="42" t="s">
        <v>84</v>
      </c>
      <c r="C17" s="15" t="s">
        <v>361</v>
      </c>
      <c r="D17" s="16" t="s">
        <v>90</v>
      </c>
      <c r="E17" s="43">
        <v>1</v>
      </c>
      <c r="F17" s="48"/>
      <c r="G17" s="48"/>
    </row>
    <row r="18" spans="1:7" s="14" customFormat="1">
      <c r="A18" s="42">
        <f t="shared" si="0"/>
        <v>5</v>
      </c>
      <c r="B18" s="42" t="s">
        <v>84</v>
      </c>
      <c r="C18" s="15" t="s">
        <v>355</v>
      </c>
      <c r="D18" s="16" t="s">
        <v>90</v>
      </c>
      <c r="E18" s="52">
        <v>1</v>
      </c>
      <c r="F18" s="48"/>
      <c r="G18" s="48"/>
    </row>
    <row r="19" spans="1:7" s="14" customFormat="1">
      <c r="A19" s="42">
        <f t="shared" si="0"/>
        <v>6</v>
      </c>
      <c r="B19" s="42" t="s">
        <v>84</v>
      </c>
      <c r="C19" s="55" t="s">
        <v>364</v>
      </c>
      <c r="D19" s="16" t="s">
        <v>354</v>
      </c>
      <c r="E19" s="52">
        <v>8</v>
      </c>
      <c r="F19" s="48"/>
      <c r="G19" s="48"/>
    </row>
    <row r="20" spans="1:7" s="14" customFormat="1" ht="38.25">
      <c r="A20" s="42">
        <f t="shared" si="0"/>
        <v>7</v>
      </c>
      <c r="B20" s="42" t="s">
        <v>84</v>
      </c>
      <c r="C20" s="54" t="s">
        <v>360</v>
      </c>
      <c r="D20" s="85" t="s">
        <v>175</v>
      </c>
      <c r="E20" s="43">
        <v>592</v>
      </c>
      <c r="F20" s="48"/>
      <c r="G20" s="48"/>
    </row>
    <row r="21" spans="1:7" s="14" customFormat="1">
      <c r="A21" s="42">
        <f t="shared" si="0"/>
        <v>8</v>
      </c>
      <c r="B21" s="42" t="s">
        <v>84</v>
      </c>
      <c r="C21" s="55" t="s">
        <v>363</v>
      </c>
      <c r="D21" s="16" t="s">
        <v>354</v>
      </c>
      <c r="E21" s="52">
        <v>3</v>
      </c>
      <c r="F21" s="48"/>
      <c r="G21" s="48"/>
    </row>
    <row r="22" spans="1:7" s="14" customFormat="1" ht="38.25">
      <c r="A22" s="42">
        <f t="shared" si="0"/>
        <v>9</v>
      </c>
      <c r="B22" s="42" t="s">
        <v>84</v>
      </c>
      <c r="C22" s="15" t="s">
        <v>356</v>
      </c>
      <c r="D22" s="16" t="s">
        <v>8</v>
      </c>
      <c r="E22" s="43">
        <v>1</v>
      </c>
      <c r="F22" s="48"/>
      <c r="G22" s="48"/>
    </row>
    <row r="23" spans="1:7" s="14" customFormat="1" ht="25.5">
      <c r="A23" s="42">
        <f t="shared" si="0"/>
        <v>10</v>
      </c>
      <c r="B23" s="42" t="s">
        <v>84</v>
      </c>
      <c r="C23" s="15" t="s">
        <v>357</v>
      </c>
      <c r="D23" s="16" t="s">
        <v>8</v>
      </c>
      <c r="E23" s="43">
        <v>1</v>
      </c>
      <c r="F23" s="48"/>
      <c r="G23" s="48"/>
    </row>
    <row r="24" spans="1:7" s="14" customFormat="1">
      <c r="A24" s="42">
        <f t="shared" si="0"/>
        <v>11</v>
      </c>
      <c r="B24" s="42" t="s">
        <v>84</v>
      </c>
      <c r="C24" s="15" t="s">
        <v>358</v>
      </c>
      <c r="D24" s="16" t="s">
        <v>8</v>
      </c>
      <c r="E24" s="43">
        <v>1</v>
      </c>
      <c r="F24" s="48"/>
      <c r="G24" s="48"/>
    </row>
    <row r="25" spans="1:7" s="14" customFormat="1">
      <c r="A25" s="42">
        <f t="shared" si="0"/>
        <v>12</v>
      </c>
      <c r="B25" s="42" t="s">
        <v>84</v>
      </c>
      <c r="C25" s="55" t="s">
        <v>362</v>
      </c>
      <c r="D25" s="16" t="s">
        <v>354</v>
      </c>
      <c r="E25" s="43">
        <v>4</v>
      </c>
      <c r="F25" s="48"/>
      <c r="G25" s="48"/>
    </row>
    <row r="26" spans="1:7" s="14" customFormat="1" ht="25.5">
      <c r="A26" s="42"/>
      <c r="B26" s="42"/>
      <c r="C26" s="15" t="s">
        <v>366</v>
      </c>
      <c r="D26" s="16" t="s">
        <v>90</v>
      </c>
      <c r="E26" s="43">
        <v>1</v>
      </c>
      <c r="F26" s="48"/>
      <c r="G26" s="48"/>
    </row>
    <row r="27" spans="1:7" s="14" customFormat="1">
      <c r="A27" s="150">
        <f>A25+1</f>
        <v>13</v>
      </c>
      <c r="B27" s="150" t="s">
        <v>84</v>
      </c>
      <c r="C27" s="95" t="s">
        <v>359</v>
      </c>
      <c r="D27" s="94" t="s">
        <v>354</v>
      </c>
      <c r="E27" s="105">
        <v>8</v>
      </c>
      <c r="F27" s="48"/>
      <c r="G27" s="48"/>
    </row>
    <row r="28" spans="1:7" s="14" customFormat="1" ht="25.5">
      <c r="A28" s="76"/>
      <c r="B28" s="76" t="s">
        <v>379</v>
      </c>
      <c r="C28" s="72" t="s">
        <v>436</v>
      </c>
      <c r="D28" s="80"/>
      <c r="E28" s="79"/>
      <c r="F28" s="48"/>
      <c r="G28" s="48"/>
    </row>
    <row r="29" spans="1:7" s="14" customFormat="1" ht="15.75">
      <c r="A29" s="60"/>
      <c r="B29" s="60"/>
      <c r="C29" s="15" t="s">
        <v>962</v>
      </c>
      <c r="D29" s="85" t="s">
        <v>175</v>
      </c>
      <c r="E29" s="64">
        <v>232</v>
      </c>
      <c r="F29" s="48"/>
      <c r="G29" s="48"/>
    </row>
    <row r="30" spans="1:7" s="14" customFormat="1" ht="25.5">
      <c r="A30" s="42"/>
      <c r="B30" s="42"/>
      <c r="C30" s="55" t="s">
        <v>437</v>
      </c>
      <c r="D30" s="85" t="s">
        <v>175</v>
      </c>
      <c r="E30" s="43">
        <f>E29</f>
        <v>232</v>
      </c>
      <c r="F30" s="48"/>
      <c r="G30" s="48"/>
    </row>
    <row r="31" spans="1:7" s="14" customFormat="1" ht="15.75">
      <c r="A31" s="42"/>
      <c r="B31" s="42"/>
      <c r="C31" s="55" t="s">
        <v>438</v>
      </c>
      <c r="D31" s="85" t="s">
        <v>175</v>
      </c>
      <c r="E31" s="43">
        <f>E30*1.1*2</f>
        <v>510.40000000000003</v>
      </c>
      <c r="F31" s="48"/>
      <c r="G31" s="48"/>
    </row>
    <row r="32" spans="1:7" s="14" customFormat="1" ht="15.75">
      <c r="A32" s="42"/>
      <c r="B32" s="42"/>
      <c r="C32" s="55" t="s">
        <v>439</v>
      </c>
      <c r="D32" s="85" t="s">
        <v>175</v>
      </c>
      <c r="E32" s="43">
        <f>E29*1.1</f>
        <v>255.20000000000002</v>
      </c>
      <c r="F32" s="48"/>
      <c r="G32" s="48"/>
    </row>
    <row r="33" spans="1:7" s="14" customFormat="1" ht="15.75">
      <c r="A33" s="42"/>
      <c r="B33" s="42"/>
      <c r="C33" s="15" t="s">
        <v>963</v>
      </c>
      <c r="D33" s="85" t="s">
        <v>175</v>
      </c>
      <c r="E33" s="43">
        <v>215</v>
      </c>
      <c r="F33" s="48"/>
      <c r="G33" s="48"/>
    </row>
    <row r="34" spans="1:7" s="14" customFormat="1" ht="15.75">
      <c r="A34" s="42"/>
      <c r="B34" s="42"/>
      <c r="C34" s="55" t="s">
        <v>440</v>
      </c>
      <c r="D34" s="85" t="s">
        <v>175</v>
      </c>
      <c r="E34" s="43">
        <f>E33</f>
        <v>215</v>
      </c>
      <c r="F34" s="48"/>
      <c r="G34" s="48"/>
    </row>
    <row r="35" spans="1:7" s="14" customFormat="1" ht="15.75">
      <c r="A35" s="42"/>
      <c r="B35" s="42"/>
      <c r="C35" s="55" t="s">
        <v>1148</v>
      </c>
      <c r="D35" s="85" t="s">
        <v>175</v>
      </c>
      <c r="E35" s="43">
        <f>E33*1.15</f>
        <v>247.24999999999997</v>
      </c>
      <c r="F35" s="48"/>
      <c r="G35" s="48"/>
    </row>
    <row r="36" spans="1:7" s="14" customFormat="1" ht="15.75">
      <c r="A36" s="42"/>
      <c r="B36" s="42"/>
      <c r="C36" s="55" t="s">
        <v>1149</v>
      </c>
      <c r="D36" s="85" t="s">
        <v>175</v>
      </c>
      <c r="E36" s="43">
        <f>E34*1.15</f>
        <v>247.24999999999997</v>
      </c>
      <c r="F36" s="48"/>
      <c r="G36" s="48"/>
    </row>
    <row r="37" spans="1:7" s="14" customFormat="1" ht="15.75">
      <c r="A37" s="42"/>
      <c r="B37" s="42"/>
      <c r="C37" s="15" t="s">
        <v>964</v>
      </c>
      <c r="D37" s="85" t="s">
        <v>175</v>
      </c>
      <c r="E37" s="43">
        <v>22.3</v>
      </c>
      <c r="F37" s="48"/>
      <c r="G37" s="48"/>
    </row>
    <row r="38" spans="1:7" s="14" customFormat="1" ht="15.75">
      <c r="A38" s="42"/>
      <c r="B38" s="42"/>
      <c r="C38" s="55" t="s">
        <v>440</v>
      </c>
      <c r="D38" s="85" t="s">
        <v>175</v>
      </c>
      <c r="E38" s="43">
        <f>E37</f>
        <v>22.3</v>
      </c>
      <c r="F38" s="48"/>
      <c r="G38" s="48"/>
    </row>
    <row r="39" spans="1:7" s="14" customFormat="1" ht="15.75">
      <c r="A39" s="42"/>
      <c r="B39" s="42"/>
      <c r="C39" s="55" t="s">
        <v>1148</v>
      </c>
      <c r="D39" s="85" t="s">
        <v>175</v>
      </c>
      <c r="E39" s="43">
        <f>E37*1.15</f>
        <v>25.645</v>
      </c>
      <c r="F39" s="48"/>
      <c r="G39" s="48"/>
    </row>
    <row r="40" spans="1:7" s="14" customFormat="1" ht="15.75">
      <c r="A40" s="42"/>
      <c r="B40" s="42"/>
      <c r="C40" s="55" t="s">
        <v>1149</v>
      </c>
      <c r="D40" s="85" t="s">
        <v>175</v>
      </c>
      <c r="E40" s="43">
        <f>E38*1.15</f>
        <v>25.645</v>
      </c>
      <c r="F40" s="48"/>
      <c r="G40" s="48"/>
    </row>
    <row r="41" spans="1:7" s="14" customFormat="1" ht="15.75">
      <c r="A41" s="42"/>
      <c r="B41" s="42"/>
      <c r="C41" s="15" t="s">
        <v>1058</v>
      </c>
      <c r="D41" s="85" t="s">
        <v>175</v>
      </c>
      <c r="E41" s="43">
        <v>236.2</v>
      </c>
      <c r="F41" s="48"/>
      <c r="G41" s="48"/>
    </row>
    <row r="42" spans="1:7" s="14" customFormat="1" ht="15.75">
      <c r="A42" s="42"/>
      <c r="B42" s="42"/>
      <c r="C42" s="55" t="s">
        <v>441</v>
      </c>
      <c r="D42" s="85" t="s">
        <v>175</v>
      </c>
      <c r="E42" s="43">
        <f>E41*1.1*2</f>
        <v>519.64</v>
      </c>
      <c r="F42" s="48"/>
      <c r="G42" s="48"/>
    </row>
    <row r="43" spans="1:7" s="14" customFormat="1" ht="15.75">
      <c r="A43" s="42"/>
      <c r="B43" s="42"/>
      <c r="C43" s="55" t="s">
        <v>442</v>
      </c>
      <c r="D43" s="85" t="s">
        <v>175</v>
      </c>
      <c r="E43" s="43">
        <f>E41*1.1</f>
        <v>259.82</v>
      </c>
      <c r="F43" s="48"/>
      <c r="G43" s="48"/>
    </row>
    <row r="44" spans="1:7" s="14" customFormat="1" ht="15.75">
      <c r="A44" s="42"/>
      <c r="B44" s="42"/>
      <c r="C44" s="15" t="s">
        <v>968</v>
      </c>
      <c r="D44" s="85" t="s">
        <v>175</v>
      </c>
      <c r="E44" s="43">
        <v>125</v>
      </c>
      <c r="F44" s="48"/>
      <c r="G44" s="48"/>
    </row>
    <row r="45" spans="1:7" s="14" customFormat="1" ht="15.75">
      <c r="A45" s="42"/>
      <c r="B45" s="42"/>
      <c r="C45" s="55" t="s">
        <v>443</v>
      </c>
      <c r="D45" s="85" t="s">
        <v>175</v>
      </c>
      <c r="E45" s="43">
        <f>E44*1.1</f>
        <v>137.5</v>
      </c>
      <c r="F45" s="48"/>
      <c r="G45" s="48"/>
    </row>
    <row r="46" spans="1:7" s="14" customFormat="1" ht="25.5">
      <c r="A46" s="42"/>
      <c r="B46" s="42"/>
      <c r="C46" s="55" t="s">
        <v>1076</v>
      </c>
      <c r="D46" s="85" t="s">
        <v>9</v>
      </c>
      <c r="E46" s="43">
        <v>250</v>
      </c>
      <c r="F46" s="48"/>
      <c r="G46" s="48"/>
    </row>
    <row r="47" spans="1:7" s="14" customFormat="1">
      <c r="A47" s="42"/>
      <c r="B47" s="42"/>
      <c r="C47" s="55" t="s">
        <v>1073</v>
      </c>
      <c r="D47" s="85" t="s">
        <v>90</v>
      </c>
      <c r="E47" s="43">
        <f>E44</f>
        <v>125</v>
      </c>
      <c r="F47" s="48"/>
      <c r="G47" s="48"/>
    </row>
    <row r="48" spans="1:7" s="14" customFormat="1" ht="25.5">
      <c r="A48" s="42"/>
      <c r="B48" s="42"/>
      <c r="C48" s="55" t="s">
        <v>1150</v>
      </c>
      <c r="D48" s="85" t="s">
        <v>9</v>
      </c>
      <c r="E48" s="43">
        <v>107.3</v>
      </c>
      <c r="F48" s="48"/>
      <c r="G48" s="48"/>
    </row>
    <row r="49" spans="1:7" s="14" customFormat="1" ht="25.5">
      <c r="A49" s="42"/>
      <c r="B49" s="42"/>
      <c r="C49" s="55" t="s">
        <v>1074</v>
      </c>
      <c r="D49" s="85" t="s">
        <v>90</v>
      </c>
      <c r="E49" s="43">
        <f>E44</f>
        <v>125</v>
      </c>
      <c r="F49" s="48"/>
      <c r="G49" s="48"/>
    </row>
    <row r="50" spans="1:7" s="14" customFormat="1" ht="15.75">
      <c r="A50" s="42"/>
      <c r="B50" s="42"/>
      <c r="C50" s="55" t="s">
        <v>443</v>
      </c>
      <c r="D50" s="85" t="s">
        <v>175</v>
      </c>
      <c r="E50" s="43">
        <f>E44*1.1</f>
        <v>137.5</v>
      </c>
      <c r="F50" s="48"/>
      <c r="G50" s="48"/>
    </row>
    <row r="51" spans="1:7" s="14" customFormat="1" ht="25.5">
      <c r="A51" s="76"/>
      <c r="B51" s="76" t="s">
        <v>1087</v>
      </c>
      <c r="C51" s="72" t="s">
        <v>969</v>
      </c>
      <c r="D51" s="80"/>
      <c r="E51" s="81"/>
      <c r="F51" s="48"/>
      <c r="G51" s="48"/>
    </row>
    <row r="52" spans="1:7" s="140" customFormat="1" ht="15.75">
      <c r="A52" s="176"/>
      <c r="B52" s="176"/>
      <c r="C52" s="166" t="s">
        <v>974</v>
      </c>
      <c r="D52" s="85" t="s">
        <v>175</v>
      </c>
      <c r="E52" s="43">
        <v>35</v>
      </c>
      <c r="F52" s="48"/>
      <c r="G52" s="48"/>
    </row>
    <row r="53" spans="1:7" s="140" customFormat="1" ht="15.75">
      <c r="A53" s="42"/>
      <c r="B53" s="42"/>
      <c r="C53" s="55" t="s">
        <v>423</v>
      </c>
      <c r="D53" s="85" t="s">
        <v>175</v>
      </c>
      <c r="E53" s="43">
        <f>E52*1.1</f>
        <v>38.5</v>
      </c>
      <c r="F53" s="48"/>
      <c r="G53" s="48"/>
    </row>
    <row r="54" spans="1:7" s="140" customFormat="1">
      <c r="A54" s="42"/>
      <c r="B54" s="42"/>
      <c r="C54" s="55" t="s">
        <v>944</v>
      </c>
      <c r="D54" s="85" t="s">
        <v>943</v>
      </c>
      <c r="E54" s="43">
        <f>E52*0.15</f>
        <v>5.25</v>
      </c>
      <c r="F54" s="48"/>
      <c r="G54" s="48"/>
    </row>
    <row r="55" spans="1:7" s="140" customFormat="1">
      <c r="A55" s="42"/>
      <c r="B55" s="42"/>
      <c r="C55" s="55" t="s">
        <v>1060</v>
      </c>
      <c r="D55" s="85" t="s">
        <v>7</v>
      </c>
      <c r="E55" s="43">
        <f>E52*1.15</f>
        <v>40.25</v>
      </c>
      <c r="F55" s="48"/>
      <c r="G55" s="48"/>
    </row>
    <row r="56" spans="1:7" s="140" customFormat="1" ht="15.75">
      <c r="A56" s="42"/>
      <c r="B56" s="42"/>
      <c r="C56" s="55" t="s">
        <v>424</v>
      </c>
      <c r="D56" s="85" t="s">
        <v>175</v>
      </c>
      <c r="E56" s="43">
        <f>E52*0.01*1.1</f>
        <v>0.38500000000000006</v>
      </c>
      <c r="F56" s="48"/>
      <c r="G56" s="48"/>
    </row>
    <row r="57" spans="1:7" s="140" customFormat="1" ht="15.75">
      <c r="A57" s="42"/>
      <c r="B57" s="42"/>
      <c r="C57" s="15" t="s">
        <v>975</v>
      </c>
      <c r="D57" s="85" t="s">
        <v>175</v>
      </c>
      <c r="E57" s="52">
        <v>86.2</v>
      </c>
      <c r="F57" s="48"/>
      <c r="G57" s="48"/>
    </row>
    <row r="58" spans="1:7" s="140" customFormat="1" ht="25.5">
      <c r="A58" s="42"/>
      <c r="B58" s="42"/>
      <c r="C58" s="55" t="s">
        <v>1151</v>
      </c>
      <c r="D58" s="85" t="s">
        <v>175</v>
      </c>
      <c r="E58" s="43">
        <f>E57*1.1</f>
        <v>94.820000000000007</v>
      </c>
      <c r="F58" s="48"/>
      <c r="G58" s="48"/>
    </row>
    <row r="59" spans="1:7" s="140" customFormat="1">
      <c r="A59" s="42"/>
      <c r="B59" s="42"/>
      <c r="C59" s="55" t="s">
        <v>944</v>
      </c>
      <c r="D59" s="85" t="s">
        <v>943</v>
      </c>
      <c r="E59" s="43">
        <f>E57*0.15</f>
        <v>12.93</v>
      </c>
      <c r="F59" s="48"/>
      <c r="G59" s="48"/>
    </row>
    <row r="60" spans="1:7" s="140" customFormat="1">
      <c r="A60" s="42"/>
      <c r="B60" s="42"/>
      <c r="C60" s="55" t="s">
        <v>1060</v>
      </c>
      <c r="D60" s="85" t="s">
        <v>7</v>
      </c>
      <c r="E60" s="43">
        <f>E57*1.15</f>
        <v>99.13</v>
      </c>
      <c r="F60" s="48"/>
      <c r="G60" s="48"/>
    </row>
    <row r="61" spans="1:7" s="140" customFormat="1" ht="15.75">
      <c r="A61" s="42"/>
      <c r="B61" s="42"/>
      <c r="C61" s="55" t="s">
        <v>424</v>
      </c>
      <c r="D61" s="85" t="s">
        <v>175</v>
      </c>
      <c r="E61" s="43">
        <f>E57*0.01*1.1</f>
        <v>0.94820000000000015</v>
      </c>
      <c r="F61" s="48"/>
      <c r="G61" s="48"/>
    </row>
    <row r="62" spans="1:7" s="140" customFormat="1" ht="25.5">
      <c r="A62" s="42"/>
      <c r="B62" s="42"/>
      <c r="C62" s="15" t="s">
        <v>976</v>
      </c>
      <c r="D62" s="85" t="s">
        <v>175</v>
      </c>
      <c r="E62" s="52">
        <v>8.4</v>
      </c>
      <c r="F62" s="48"/>
      <c r="G62" s="48"/>
    </row>
    <row r="63" spans="1:7" s="140" customFormat="1">
      <c r="A63" s="42"/>
      <c r="B63" s="42"/>
      <c r="C63" s="55" t="s">
        <v>425</v>
      </c>
      <c r="D63" s="16" t="s">
        <v>943</v>
      </c>
      <c r="E63" s="43">
        <f>E62*0.15</f>
        <v>1.26</v>
      </c>
      <c r="F63" s="48"/>
      <c r="G63" s="48"/>
    </row>
    <row r="64" spans="1:7" s="140" customFormat="1" ht="15.75">
      <c r="A64" s="42"/>
      <c r="B64" s="42"/>
      <c r="C64" s="15" t="s">
        <v>977</v>
      </c>
      <c r="D64" s="85" t="s">
        <v>175</v>
      </c>
      <c r="E64" s="52">
        <v>36.700000000000003</v>
      </c>
      <c r="F64" s="48"/>
      <c r="G64" s="48"/>
    </row>
    <row r="65" spans="1:7" s="140" customFormat="1" ht="15.75">
      <c r="A65" s="42"/>
      <c r="B65" s="42"/>
      <c r="C65" s="55" t="s">
        <v>1152</v>
      </c>
      <c r="D65" s="85" t="s">
        <v>175</v>
      </c>
      <c r="E65" s="43">
        <f>E64*1.1</f>
        <v>40.370000000000005</v>
      </c>
      <c r="F65" s="48"/>
      <c r="G65" s="48"/>
    </row>
    <row r="66" spans="1:7" s="140" customFormat="1">
      <c r="A66" s="42"/>
      <c r="B66" s="42"/>
      <c r="C66" s="55" t="s">
        <v>944</v>
      </c>
      <c r="D66" s="85" t="s">
        <v>943</v>
      </c>
      <c r="E66" s="43">
        <f>E64*0.15</f>
        <v>5.5049999999999999</v>
      </c>
      <c r="F66" s="48"/>
      <c r="G66" s="48"/>
    </row>
    <row r="67" spans="1:7" s="140" customFormat="1">
      <c r="A67" s="42"/>
      <c r="B67" s="42"/>
      <c r="C67" s="55" t="s">
        <v>1060</v>
      </c>
      <c r="D67" s="85" t="s">
        <v>7</v>
      </c>
      <c r="E67" s="43">
        <f>E64*1.15</f>
        <v>42.204999999999998</v>
      </c>
      <c r="F67" s="48"/>
      <c r="G67" s="48"/>
    </row>
    <row r="68" spans="1:7" s="140" customFormat="1" ht="15.75">
      <c r="A68" s="42"/>
      <c r="B68" s="42"/>
      <c r="C68" s="55" t="s">
        <v>424</v>
      </c>
      <c r="D68" s="85" t="s">
        <v>175</v>
      </c>
      <c r="E68" s="43">
        <f>E64*1.1</f>
        <v>40.370000000000005</v>
      </c>
      <c r="F68" s="48"/>
      <c r="G68" s="48"/>
    </row>
    <row r="69" spans="1:7" s="140" customFormat="1" ht="25.5">
      <c r="A69" s="42"/>
      <c r="B69" s="42"/>
      <c r="C69" s="15" t="s">
        <v>1153</v>
      </c>
      <c r="D69" s="85" t="s">
        <v>175</v>
      </c>
      <c r="E69" s="52">
        <v>35.200000000000003</v>
      </c>
      <c r="F69" s="48"/>
      <c r="G69" s="48"/>
    </row>
    <row r="70" spans="1:7" s="140" customFormat="1" ht="25.5">
      <c r="A70" s="42"/>
      <c r="B70" s="42"/>
      <c r="C70" s="15" t="s">
        <v>1154</v>
      </c>
      <c r="D70" s="85" t="s">
        <v>175</v>
      </c>
      <c r="E70" s="52">
        <v>13.8</v>
      </c>
      <c r="F70" s="48"/>
      <c r="G70" s="48"/>
    </row>
    <row r="71" spans="1:7" s="140" customFormat="1" ht="25.5">
      <c r="A71" s="42"/>
      <c r="B71" s="42"/>
      <c r="C71" s="15" t="s">
        <v>1155</v>
      </c>
      <c r="D71" s="85" t="s">
        <v>175</v>
      </c>
      <c r="E71" s="52">
        <v>17</v>
      </c>
      <c r="F71" s="48"/>
      <c r="G71" s="48"/>
    </row>
    <row r="72" spans="1:7" s="140" customFormat="1" ht="15.75">
      <c r="A72" s="42"/>
      <c r="B72" s="42"/>
      <c r="C72" s="15" t="s">
        <v>978</v>
      </c>
      <c r="D72" s="85" t="s">
        <v>175</v>
      </c>
      <c r="E72" s="52">
        <v>34.6</v>
      </c>
      <c r="F72" s="48"/>
      <c r="G72" s="48"/>
    </row>
    <row r="73" spans="1:7" s="140" customFormat="1" ht="15.75">
      <c r="A73" s="42"/>
      <c r="B73" s="42"/>
      <c r="C73" s="55" t="s">
        <v>1152</v>
      </c>
      <c r="D73" s="85" t="s">
        <v>175</v>
      </c>
      <c r="E73" s="43">
        <f>E72*1.1</f>
        <v>38.06</v>
      </c>
      <c r="F73" s="48"/>
      <c r="G73" s="48"/>
    </row>
    <row r="74" spans="1:7" s="140" customFormat="1">
      <c r="A74" s="42"/>
      <c r="B74" s="42"/>
      <c r="C74" s="55" t="s">
        <v>944</v>
      </c>
      <c r="D74" s="85" t="s">
        <v>943</v>
      </c>
      <c r="E74" s="43">
        <f>E72*0.15</f>
        <v>5.19</v>
      </c>
      <c r="F74" s="48"/>
      <c r="G74" s="48"/>
    </row>
    <row r="75" spans="1:7" s="140" customFormat="1">
      <c r="A75" s="42"/>
      <c r="B75" s="42"/>
      <c r="C75" s="55" t="s">
        <v>1060</v>
      </c>
      <c r="D75" s="85" t="s">
        <v>7</v>
      </c>
      <c r="E75" s="43">
        <f>E72*1.15</f>
        <v>39.79</v>
      </c>
      <c r="F75" s="48"/>
      <c r="G75" s="48"/>
    </row>
    <row r="76" spans="1:7" s="140" customFormat="1" ht="15.75">
      <c r="A76" s="42"/>
      <c r="B76" s="42"/>
      <c r="C76" s="55" t="s">
        <v>424</v>
      </c>
      <c r="D76" s="85" t="s">
        <v>175</v>
      </c>
      <c r="E76" s="43">
        <f>E72*1.1</f>
        <v>38.06</v>
      </c>
      <c r="F76" s="48"/>
      <c r="G76" s="48"/>
    </row>
    <row r="77" spans="1:7" s="140" customFormat="1" ht="25.5">
      <c r="A77" s="42"/>
      <c r="B77" s="42"/>
      <c r="C77" s="15" t="s">
        <v>1156</v>
      </c>
      <c r="D77" s="85" t="s">
        <v>979</v>
      </c>
      <c r="E77" s="52">
        <v>34.6</v>
      </c>
      <c r="F77" s="48"/>
      <c r="G77" s="48"/>
    </row>
    <row r="78" spans="1:7" s="140" customFormat="1" ht="15.75">
      <c r="A78" s="42"/>
      <c r="B78" s="42"/>
      <c r="C78" s="15" t="s">
        <v>980</v>
      </c>
      <c r="D78" s="85" t="s">
        <v>979</v>
      </c>
      <c r="E78" s="52">
        <v>34.799999999999997</v>
      </c>
      <c r="F78" s="48"/>
      <c r="G78" s="48"/>
    </row>
    <row r="79" spans="1:7" s="140" customFormat="1">
      <c r="A79" s="42"/>
      <c r="B79" s="42"/>
      <c r="C79" s="55" t="s">
        <v>944</v>
      </c>
      <c r="D79" s="85" t="s">
        <v>943</v>
      </c>
      <c r="E79" s="43">
        <f>E78*0.15</f>
        <v>5.22</v>
      </c>
      <c r="F79" s="48"/>
      <c r="G79" s="48"/>
    </row>
    <row r="80" spans="1:7" s="140" customFormat="1">
      <c r="A80" s="42"/>
      <c r="B80" s="42"/>
      <c r="C80" s="55" t="s">
        <v>1060</v>
      </c>
      <c r="D80" s="85" t="s">
        <v>7</v>
      </c>
      <c r="E80" s="43">
        <f>E78*1.15</f>
        <v>40.019999999999996</v>
      </c>
      <c r="F80" s="48"/>
      <c r="G80" s="48"/>
    </row>
    <row r="81" spans="1:7" s="140" customFormat="1" ht="15.75">
      <c r="A81" s="42"/>
      <c r="B81" s="42"/>
      <c r="C81" s="55" t="s">
        <v>424</v>
      </c>
      <c r="D81" s="85" t="s">
        <v>979</v>
      </c>
      <c r="E81" s="43">
        <f>E78*1.1</f>
        <v>38.28</v>
      </c>
      <c r="F81" s="48"/>
      <c r="G81" s="48"/>
    </row>
    <row r="82" spans="1:7" s="140" customFormat="1" ht="15.75">
      <c r="A82" s="42"/>
      <c r="B82" s="42"/>
      <c r="C82" s="15" t="s">
        <v>981</v>
      </c>
      <c r="D82" s="85" t="s">
        <v>979</v>
      </c>
      <c r="E82" s="52">
        <v>1.8</v>
      </c>
      <c r="F82" s="48"/>
      <c r="G82" s="48"/>
    </row>
    <row r="83" spans="1:7" s="140" customFormat="1">
      <c r="A83" s="42"/>
      <c r="B83" s="42"/>
      <c r="C83" s="55" t="s">
        <v>944</v>
      </c>
      <c r="D83" s="85" t="s">
        <v>943</v>
      </c>
      <c r="E83" s="43">
        <f>E82*0.15</f>
        <v>0.27</v>
      </c>
      <c r="F83" s="48"/>
      <c r="G83" s="48"/>
    </row>
    <row r="84" spans="1:7" s="140" customFormat="1">
      <c r="A84" s="42"/>
      <c r="B84" s="42"/>
      <c r="C84" s="55" t="s">
        <v>1060</v>
      </c>
      <c r="D84" s="85" t="s">
        <v>7</v>
      </c>
      <c r="E84" s="43">
        <f>E82*1.15</f>
        <v>2.0699999999999998</v>
      </c>
      <c r="F84" s="48"/>
      <c r="G84" s="48"/>
    </row>
    <row r="85" spans="1:7" s="140" customFormat="1" ht="15.75">
      <c r="A85" s="42"/>
      <c r="B85" s="42"/>
      <c r="C85" s="55" t="s">
        <v>424</v>
      </c>
      <c r="D85" s="85" t="s">
        <v>979</v>
      </c>
      <c r="E85" s="43">
        <f>E82*1.1</f>
        <v>1.9800000000000002</v>
      </c>
      <c r="F85" s="48"/>
      <c r="G85" s="48"/>
    </row>
    <row r="86" spans="1:7" s="140" customFormat="1">
      <c r="A86" s="42"/>
      <c r="B86" s="42"/>
      <c r="C86" s="15" t="s">
        <v>972</v>
      </c>
      <c r="D86" s="16" t="s">
        <v>7</v>
      </c>
      <c r="E86" s="52">
        <v>216.2</v>
      </c>
      <c r="F86" s="48"/>
      <c r="G86" s="48"/>
    </row>
    <row r="87" spans="1:7" s="140" customFormat="1" ht="25.5">
      <c r="A87" s="42"/>
      <c r="B87" s="42"/>
      <c r="C87" s="55" t="s">
        <v>1157</v>
      </c>
      <c r="D87" s="16" t="s">
        <v>7</v>
      </c>
      <c r="E87" s="43">
        <f>E86*1.1</f>
        <v>237.82</v>
      </c>
      <c r="F87" s="48"/>
      <c r="G87" s="48"/>
    </row>
    <row r="88" spans="1:7" s="140" customFormat="1" ht="25.5">
      <c r="A88" s="42"/>
      <c r="B88" s="42"/>
      <c r="C88" s="259" t="s">
        <v>1063</v>
      </c>
      <c r="D88" s="16" t="s">
        <v>9</v>
      </c>
      <c r="E88" s="43">
        <f>E86*0.87</f>
        <v>188.09399999999999</v>
      </c>
      <c r="F88" s="48"/>
      <c r="G88" s="48"/>
    </row>
    <row r="89" spans="1:7" s="140" customFormat="1">
      <c r="A89" s="42"/>
      <c r="B89" s="42"/>
      <c r="C89" s="259" t="s">
        <v>1064</v>
      </c>
      <c r="D89" s="16" t="s">
        <v>9</v>
      </c>
      <c r="E89" s="43">
        <f>E87*0.87</f>
        <v>206.9034</v>
      </c>
      <c r="F89" s="48"/>
      <c r="G89" s="48"/>
    </row>
    <row r="90" spans="1:7" s="140" customFormat="1">
      <c r="A90" s="42"/>
      <c r="B90" s="42"/>
      <c r="C90" s="259" t="s">
        <v>1065</v>
      </c>
      <c r="D90" s="16" t="s">
        <v>9</v>
      </c>
      <c r="E90" s="43">
        <f>E86*1.6</f>
        <v>345.92</v>
      </c>
      <c r="F90" s="48"/>
      <c r="G90" s="48"/>
    </row>
    <row r="91" spans="1:7" s="140" customFormat="1">
      <c r="A91" s="42"/>
      <c r="B91" s="42"/>
      <c r="C91" s="55" t="s">
        <v>973</v>
      </c>
      <c r="D91" s="16" t="s">
        <v>7</v>
      </c>
      <c r="E91" s="43">
        <f>E86*1.1*2</f>
        <v>475.64</v>
      </c>
      <c r="F91" s="48"/>
      <c r="G91" s="48"/>
    </row>
    <row r="92" spans="1:7" s="140" customFormat="1">
      <c r="A92" s="42"/>
      <c r="B92" s="42"/>
      <c r="C92" s="259" t="s">
        <v>1062</v>
      </c>
      <c r="D92" s="277" t="s">
        <v>9</v>
      </c>
      <c r="E92" s="43">
        <f>E86*0.8</f>
        <v>172.96</v>
      </c>
      <c r="F92" s="48"/>
      <c r="G92" s="48"/>
    </row>
    <row r="93" spans="1:7" s="140" customFormat="1">
      <c r="A93" s="42"/>
      <c r="B93" s="42"/>
      <c r="C93" s="55" t="s">
        <v>938</v>
      </c>
      <c r="D93" s="16" t="s">
        <v>11</v>
      </c>
      <c r="E93" s="43">
        <f>E86*0.6</f>
        <v>129.72</v>
      </c>
      <c r="F93" s="48"/>
      <c r="G93" s="48"/>
    </row>
    <row r="94" spans="1:7" s="140" customFormat="1" ht="25.5">
      <c r="A94" s="42"/>
      <c r="B94" s="42"/>
      <c r="C94" s="259" t="s">
        <v>708</v>
      </c>
      <c r="D94" s="16" t="s">
        <v>90</v>
      </c>
      <c r="E94" s="43">
        <f>E86*34</f>
        <v>7350.7999999999993</v>
      </c>
      <c r="F94" s="48"/>
      <c r="G94" s="48"/>
    </row>
    <row r="95" spans="1:7" s="14" customFormat="1" ht="25.5">
      <c r="A95" s="42"/>
      <c r="B95" s="42"/>
      <c r="C95" s="15" t="s">
        <v>1158</v>
      </c>
      <c r="D95" s="85" t="s">
        <v>175</v>
      </c>
      <c r="E95" s="52">
        <v>152.69999999999999</v>
      </c>
      <c r="F95" s="48"/>
      <c r="G95" s="48"/>
    </row>
    <row r="96" spans="1:7" s="14" customFormat="1" ht="15.75">
      <c r="A96" s="42"/>
      <c r="B96" s="42"/>
      <c r="C96" s="55" t="s">
        <v>429</v>
      </c>
      <c r="D96" s="85" t="s">
        <v>175</v>
      </c>
      <c r="E96" s="43">
        <f>E95*1.1*4</f>
        <v>671.88</v>
      </c>
      <c r="F96" s="48"/>
      <c r="G96" s="48"/>
    </row>
    <row r="97" spans="1:7" s="14" customFormat="1" ht="15.75">
      <c r="A97" s="42"/>
      <c r="B97" s="42"/>
      <c r="C97" s="55" t="s">
        <v>1059</v>
      </c>
      <c r="D97" s="85" t="s">
        <v>175</v>
      </c>
      <c r="E97" s="43">
        <f>E95*1.1*2</f>
        <v>335.94</v>
      </c>
      <c r="F97" s="48"/>
      <c r="G97" s="48"/>
    </row>
    <row r="98" spans="1:7" s="14" customFormat="1" ht="25.5">
      <c r="A98" s="42"/>
      <c r="B98" s="42"/>
      <c r="C98" s="55" t="s">
        <v>1066</v>
      </c>
      <c r="D98" s="277" t="s">
        <v>9</v>
      </c>
      <c r="E98" s="278">
        <f>E95*0.87</f>
        <v>132.84899999999999</v>
      </c>
      <c r="F98" s="48"/>
      <c r="G98" s="48"/>
    </row>
    <row r="99" spans="1:7" s="14" customFormat="1">
      <c r="A99" s="42"/>
      <c r="B99" s="42"/>
      <c r="C99" s="55" t="s">
        <v>1067</v>
      </c>
      <c r="D99" s="277" t="s">
        <v>9</v>
      </c>
      <c r="E99" s="278">
        <f>E95*1.6</f>
        <v>244.32</v>
      </c>
      <c r="F99" s="48"/>
      <c r="G99" s="48"/>
    </row>
    <row r="100" spans="1:7" s="14" customFormat="1">
      <c r="A100" s="42"/>
      <c r="B100" s="42"/>
      <c r="C100" s="259" t="s">
        <v>1062</v>
      </c>
      <c r="D100" s="85" t="s">
        <v>9</v>
      </c>
      <c r="E100" s="43">
        <f>E95*0.8</f>
        <v>122.16</v>
      </c>
      <c r="F100" s="48"/>
      <c r="G100" s="48"/>
    </row>
    <row r="101" spans="1:7" s="14" customFormat="1">
      <c r="A101" s="42"/>
      <c r="B101" s="42"/>
      <c r="C101" s="55" t="s">
        <v>938</v>
      </c>
      <c r="D101" s="85" t="s">
        <v>11</v>
      </c>
      <c r="E101" s="43">
        <f>E95*0.6</f>
        <v>91.61999999999999</v>
      </c>
      <c r="F101" s="48"/>
      <c r="G101" s="48"/>
    </row>
    <row r="102" spans="1:7" s="14" customFormat="1" ht="25.5">
      <c r="A102" s="42"/>
      <c r="B102" s="42"/>
      <c r="C102" s="259" t="s">
        <v>708</v>
      </c>
      <c r="D102" s="85" t="s">
        <v>90</v>
      </c>
      <c r="E102" s="43">
        <f>E95*17</f>
        <v>2595.8999999999996</v>
      </c>
      <c r="F102" s="48"/>
      <c r="G102" s="48"/>
    </row>
    <row r="103" spans="1:7" s="14" customFormat="1" ht="25.5">
      <c r="A103" s="42"/>
      <c r="B103" s="42"/>
      <c r="C103" s="259" t="s">
        <v>709</v>
      </c>
      <c r="D103" s="85" t="s">
        <v>90</v>
      </c>
      <c r="E103" s="43">
        <f>E95*34</f>
        <v>5191.7999999999993</v>
      </c>
      <c r="F103" s="48"/>
      <c r="G103" s="48"/>
    </row>
    <row r="104" spans="1:7" s="14" customFormat="1">
      <c r="A104" s="42"/>
      <c r="B104" s="42"/>
      <c r="C104" s="259" t="s">
        <v>710</v>
      </c>
      <c r="D104" s="277" t="s">
        <v>90</v>
      </c>
      <c r="E104" s="278">
        <f>E95*0.8</f>
        <v>122.16</v>
      </c>
      <c r="F104" s="48"/>
      <c r="G104" s="48"/>
    </row>
    <row r="105" spans="1:7" s="14" customFormat="1">
      <c r="A105" s="42"/>
      <c r="B105" s="42"/>
      <c r="C105" s="259" t="s">
        <v>711</v>
      </c>
      <c r="D105" s="277" t="s">
        <v>9</v>
      </c>
      <c r="E105" s="278">
        <f>E95*0.25</f>
        <v>38.174999999999997</v>
      </c>
      <c r="F105" s="48"/>
      <c r="G105" s="48"/>
    </row>
    <row r="106" spans="1:7" s="14" customFormat="1" ht="38.25">
      <c r="A106" s="42"/>
      <c r="B106" s="42"/>
      <c r="C106" s="260" t="s">
        <v>1159</v>
      </c>
      <c r="D106" s="85" t="s">
        <v>979</v>
      </c>
      <c r="E106" s="279">
        <v>146.4</v>
      </c>
      <c r="F106" s="48"/>
      <c r="G106" s="48"/>
    </row>
    <row r="107" spans="1:7" s="14" customFormat="1" ht="25.5">
      <c r="A107" s="42"/>
      <c r="B107" s="42"/>
      <c r="C107" s="55" t="s">
        <v>1066</v>
      </c>
      <c r="D107" s="277" t="s">
        <v>9</v>
      </c>
      <c r="E107" s="278">
        <f>E106*0.87</f>
        <v>127.36800000000001</v>
      </c>
      <c r="F107" s="48"/>
      <c r="G107" s="48"/>
    </row>
    <row r="108" spans="1:7" s="14" customFormat="1">
      <c r="A108" s="42"/>
      <c r="B108" s="42"/>
      <c r="C108" s="55" t="s">
        <v>1067</v>
      </c>
      <c r="D108" s="277" t="s">
        <v>9</v>
      </c>
      <c r="E108" s="278">
        <f>E106*0.8</f>
        <v>117.12</v>
      </c>
      <c r="F108" s="48"/>
      <c r="G108" s="48"/>
    </row>
    <row r="109" spans="1:7" s="14" customFormat="1" ht="25.5">
      <c r="A109" s="42"/>
      <c r="B109" s="42"/>
      <c r="C109" s="259" t="s">
        <v>704</v>
      </c>
      <c r="D109" s="277" t="s">
        <v>9</v>
      </c>
      <c r="E109" s="278">
        <f>E106*1.5</f>
        <v>219.60000000000002</v>
      </c>
      <c r="F109" s="48"/>
      <c r="G109" s="48"/>
    </row>
    <row r="110" spans="1:7" s="14" customFormat="1">
      <c r="A110" s="42"/>
      <c r="B110" s="42"/>
      <c r="C110" s="259" t="s">
        <v>705</v>
      </c>
      <c r="D110" s="277" t="s">
        <v>90</v>
      </c>
      <c r="E110" s="278">
        <f>E106*2.1</f>
        <v>307.44</v>
      </c>
      <c r="F110" s="48"/>
      <c r="G110" s="48"/>
    </row>
    <row r="111" spans="1:7" s="14" customFormat="1" ht="15.75">
      <c r="A111" s="42"/>
      <c r="B111" s="42"/>
      <c r="C111" s="259" t="s">
        <v>707</v>
      </c>
      <c r="D111" s="85" t="s">
        <v>979</v>
      </c>
      <c r="E111" s="278">
        <f>E106*4.32</f>
        <v>632.44800000000009</v>
      </c>
      <c r="F111" s="48"/>
      <c r="G111" s="48"/>
    </row>
    <row r="112" spans="1:7" s="14" customFormat="1" ht="25.5">
      <c r="A112" s="42"/>
      <c r="B112" s="42"/>
      <c r="C112" s="259" t="s">
        <v>1160</v>
      </c>
      <c r="D112" s="85" t="s">
        <v>979</v>
      </c>
      <c r="E112" s="278">
        <f>E106*1.1</f>
        <v>161.04000000000002</v>
      </c>
      <c r="F112" s="48"/>
      <c r="G112" s="48"/>
    </row>
    <row r="113" spans="1:7" s="14" customFormat="1" ht="25.5">
      <c r="A113" s="42"/>
      <c r="B113" s="42"/>
      <c r="C113" s="259" t="s">
        <v>708</v>
      </c>
      <c r="D113" s="277" t="s">
        <v>90</v>
      </c>
      <c r="E113" s="278">
        <f>E106*17</f>
        <v>2488.8000000000002</v>
      </c>
      <c r="F113" s="48"/>
      <c r="G113" s="48"/>
    </row>
    <row r="114" spans="1:7" s="14" customFormat="1" ht="25.5">
      <c r="A114" s="42"/>
      <c r="B114" s="42"/>
      <c r="C114" s="259" t="s">
        <v>709</v>
      </c>
      <c r="D114" s="277" t="s">
        <v>90</v>
      </c>
      <c r="E114" s="278">
        <f>E106*34</f>
        <v>4977.6000000000004</v>
      </c>
      <c r="F114" s="48"/>
      <c r="G114" s="48"/>
    </row>
    <row r="115" spans="1:7" s="14" customFormat="1">
      <c r="A115" s="42"/>
      <c r="B115" s="42"/>
      <c r="C115" s="259" t="s">
        <v>1061</v>
      </c>
      <c r="D115" s="277" t="s">
        <v>9</v>
      </c>
      <c r="E115" s="278">
        <f>E106*2.2</f>
        <v>322.08000000000004</v>
      </c>
      <c r="F115" s="48"/>
      <c r="G115" s="48"/>
    </row>
    <row r="116" spans="1:7" s="14" customFormat="1">
      <c r="A116" s="42"/>
      <c r="B116" s="42"/>
      <c r="C116" s="259" t="s">
        <v>710</v>
      </c>
      <c r="D116" s="277" t="s">
        <v>90</v>
      </c>
      <c r="E116" s="278">
        <f>E106*0.6</f>
        <v>87.84</v>
      </c>
      <c r="F116" s="48"/>
      <c r="G116" s="48"/>
    </row>
    <row r="117" spans="1:7" s="14" customFormat="1">
      <c r="A117" s="42"/>
      <c r="B117" s="42"/>
      <c r="C117" s="259" t="s">
        <v>711</v>
      </c>
      <c r="D117" s="277" t="s">
        <v>9</v>
      </c>
      <c r="E117" s="278">
        <f>E106*0.25</f>
        <v>36.6</v>
      </c>
      <c r="F117" s="48"/>
      <c r="G117" s="48"/>
    </row>
    <row r="118" spans="1:7" s="14" customFormat="1" ht="25.5">
      <c r="A118" s="42"/>
      <c r="B118" s="42"/>
      <c r="C118" s="15" t="s">
        <v>1161</v>
      </c>
      <c r="D118" s="85" t="s">
        <v>175</v>
      </c>
      <c r="E118" s="43">
        <v>67.099999999999994</v>
      </c>
      <c r="F118" s="48"/>
      <c r="G118" s="48"/>
    </row>
    <row r="119" spans="1:7" s="14" customFormat="1" ht="25.5">
      <c r="A119" s="42"/>
      <c r="B119" s="42"/>
      <c r="C119" s="55" t="s">
        <v>1066</v>
      </c>
      <c r="D119" s="277" t="s">
        <v>9</v>
      </c>
      <c r="E119" s="278">
        <f>E118*0.87</f>
        <v>58.376999999999995</v>
      </c>
      <c r="F119" s="48"/>
      <c r="G119" s="48"/>
    </row>
    <row r="120" spans="1:7" s="14" customFormat="1">
      <c r="A120" s="42"/>
      <c r="B120" s="42"/>
      <c r="C120" s="55" t="s">
        <v>1067</v>
      </c>
      <c r="D120" s="277" t="s">
        <v>9</v>
      </c>
      <c r="E120" s="278">
        <f>E118*0.8</f>
        <v>53.68</v>
      </c>
      <c r="F120" s="48"/>
      <c r="G120" s="48"/>
    </row>
    <row r="121" spans="1:7" s="14" customFormat="1" ht="25.5">
      <c r="A121" s="42"/>
      <c r="B121" s="42"/>
      <c r="C121" s="259" t="s">
        <v>704</v>
      </c>
      <c r="D121" s="277" t="s">
        <v>9</v>
      </c>
      <c r="E121" s="278">
        <f>E118*1.5</f>
        <v>100.64999999999999</v>
      </c>
      <c r="F121" s="48"/>
      <c r="G121" s="48"/>
    </row>
    <row r="122" spans="1:7" s="14" customFormat="1">
      <c r="A122" s="42"/>
      <c r="B122" s="42"/>
      <c r="C122" s="259" t="s">
        <v>705</v>
      </c>
      <c r="D122" s="277" t="s">
        <v>90</v>
      </c>
      <c r="E122" s="278">
        <f>E118*2.1</f>
        <v>140.91</v>
      </c>
      <c r="F122" s="48"/>
      <c r="G122" s="48"/>
    </row>
    <row r="123" spans="1:7" s="14" customFormat="1" ht="15.75">
      <c r="A123" s="42"/>
      <c r="B123" s="42"/>
      <c r="C123" s="259" t="s">
        <v>1077</v>
      </c>
      <c r="D123" s="85" t="s">
        <v>979</v>
      </c>
      <c r="E123" s="278">
        <f>E118*4.32</f>
        <v>289.87200000000001</v>
      </c>
      <c r="F123" s="48"/>
      <c r="G123" s="48"/>
    </row>
    <row r="124" spans="1:7" s="14" customFormat="1" ht="25.5">
      <c r="A124" s="42"/>
      <c r="B124" s="42"/>
      <c r="C124" s="259" t="s">
        <v>1160</v>
      </c>
      <c r="D124" s="85" t="s">
        <v>979</v>
      </c>
      <c r="E124" s="278">
        <f>E118*1.1</f>
        <v>73.81</v>
      </c>
      <c r="F124" s="48"/>
      <c r="G124" s="48"/>
    </row>
    <row r="125" spans="1:7" s="14" customFormat="1" ht="25.5">
      <c r="A125" s="42"/>
      <c r="B125" s="42"/>
      <c r="C125" s="259" t="s">
        <v>708</v>
      </c>
      <c r="D125" s="277" t="s">
        <v>90</v>
      </c>
      <c r="E125" s="278">
        <f>E118*17</f>
        <v>1140.6999999999998</v>
      </c>
      <c r="F125" s="48"/>
      <c r="G125" s="48"/>
    </row>
    <row r="126" spans="1:7" s="14" customFormat="1" ht="25.5">
      <c r="A126" s="42"/>
      <c r="B126" s="42"/>
      <c r="C126" s="259" t="s">
        <v>709</v>
      </c>
      <c r="D126" s="277" t="s">
        <v>90</v>
      </c>
      <c r="E126" s="278">
        <f>E118*34</f>
        <v>2281.3999999999996</v>
      </c>
      <c r="F126" s="48"/>
      <c r="G126" s="48"/>
    </row>
    <row r="127" spans="1:7" s="14" customFormat="1">
      <c r="A127" s="42"/>
      <c r="B127" s="42"/>
      <c r="C127" s="259" t="s">
        <v>1061</v>
      </c>
      <c r="D127" s="277" t="s">
        <v>9</v>
      </c>
      <c r="E127" s="278">
        <f>E118*2.2</f>
        <v>147.62</v>
      </c>
      <c r="F127" s="48"/>
      <c r="G127" s="48"/>
    </row>
    <row r="128" spans="1:7" s="14" customFormat="1">
      <c r="A128" s="42"/>
      <c r="B128" s="42"/>
      <c r="C128" s="259" t="s">
        <v>710</v>
      </c>
      <c r="D128" s="277" t="s">
        <v>90</v>
      </c>
      <c r="E128" s="278">
        <f>E118*0.6</f>
        <v>40.26</v>
      </c>
      <c r="F128" s="48"/>
      <c r="G128" s="48"/>
    </row>
    <row r="129" spans="1:7" s="14" customFormat="1">
      <c r="A129" s="42"/>
      <c r="B129" s="42"/>
      <c r="C129" s="259" t="s">
        <v>711</v>
      </c>
      <c r="D129" s="277" t="s">
        <v>9</v>
      </c>
      <c r="E129" s="278">
        <f>E118*0.25</f>
        <v>16.774999999999999</v>
      </c>
      <c r="F129" s="48"/>
      <c r="G129" s="48"/>
    </row>
    <row r="130" spans="1:7" s="14" customFormat="1" ht="15.75">
      <c r="A130" s="42"/>
      <c r="B130" s="42"/>
      <c r="C130" s="15" t="s">
        <v>982</v>
      </c>
      <c r="D130" s="85" t="s">
        <v>175</v>
      </c>
      <c r="E130" s="43">
        <v>5</v>
      </c>
      <c r="F130" s="48"/>
      <c r="G130" s="48"/>
    </row>
    <row r="131" spans="1:7" s="14" customFormat="1" ht="15.75">
      <c r="A131" s="42"/>
      <c r="B131" s="42"/>
      <c r="C131" s="55" t="s">
        <v>430</v>
      </c>
      <c r="D131" s="85" t="s">
        <v>175</v>
      </c>
      <c r="E131" s="43">
        <f>E130*1.1</f>
        <v>5.5</v>
      </c>
      <c r="F131" s="48"/>
      <c r="G131" s="48"/>
    </row>
    <row r="132" spans="1:7" s="14" customFormat="1" ht="15.75">
      <c r="A132" s="42"/>
      <c r="B132" s="42"/>
      <c r="C132" s="15" t="s">
        <v>983</v>
      </c>
      <c r="D132" s="85" t="s">
        <v>175</v>
      </c>
      <c r="E132" s="43">
        <v>15.2</v>
      </c>
      <c r="F132" s="48"/>
      <c r="G132" s="48"/>
    </row>
    <row r="133" spans="1:7" s="14" customFormat="1" ht="15.75">
      <c r="A133" s="42"/>
      <c r="B133" s="42"/>
      <c r="C133" s="259" t="s">
        <v>1077</v>
      </c>
      <c r="D133" s="85" t="s">
        <v>175</v>
      </c>
      <c r="E133" s="43">
        <f>E132*1.1</f>
        <v>16.72</v>
      </c>
      <c r="F133" s="48"/>
      <c r="G133" s="48"/>
    </row>
    <row r="134" spans="1:7" s="14" customFormat="1" ht="25.5">
      <c r="A134" s="42"/>
      <c r="B134" s="42"/>
      <c r="C134" s="259" t="s">
        <v>1072</v>
      </c>
      <c r="D134" s="277" t="s">
        <v>90</v>
      </c>
      <c r="E134" s="278">
        <f>E132*34</f>
        <v>516.79999999999995</v>
      </c>
      <c r="F134" s="48"/>
      <c r="G134" s="48"/>
    </row>
    <row r="135" spans="1:7" s="14" customFormat="1">
      <c r="A135" s="42"/>
      <c r="B135" s="42"/>
      <c r="C135" s="55" t="s">
        <v>431</v>
      </c>
      <c r="D135" s="85" t="s">
        <v>9</v>
      </c>
      <c r="E135" s="43">
        <f>E132*6.7</f>
        <v>101.84</v>
      </c>
      <c r="F135" s="48"/>
      <c r="G135" s="48"/>
    </row>
    <row r="136" spans="1:7" s="14" customFormat="1" ht="15.75">
      <c r="A136" s="42"/>
      <c r="B136" s="42"/>
      <c r="C136" s="55" t="s">
        <v>432</v>
      </c>
      <c r="D136" s="85" t="s">
        <v>175</v>
      </c>
      <c r="E136" s="43">
        <f>E132*1.1</f>
        <v>16.72</v>
      </c>
      <c r="F136" s="48"/>
      <c r="G136" s="48"/>
    </row>
    <row r="137" spans="1:7" s="14" customFormat="1" ht="15.75">
      <c r="A137" s="42"/>
      <c r="B137" s="42"/>
      <c r="C137" s="55" t="s">
        <v>1162</v>
      </c>
      <c r="D137" s="85" t="s">
        <v>175</v>
      </c>
      <c r="E137" s="43">
        <f>E132*1.1</f>
        <v>16.72</v>
      </c>
      <c r="F137" s="48"/>
      <c r="G137" s="48"/>
    </row>
    <row r="138" spans="1:7" s="14" customFormat="1">
      <c r="A138" s="42"/>
      <c r="B138" s="42"/>
      <c r="C138" s="55" t="s">
        <v>427</v>
      </c>
      <c r="D138" s="85" t="s">
        <v>9</v>
      </c>
      <c r="E138" s="43">
        <f>E132*6.7</f>
        <v>101.84</v>
      </c>
      <c r="F138" s="48"/>
      <c r="G138" s="48"/>
    </row>
    <row r="139" spans="1:7" s="14" customFormat="1" ht="15.75">
      <c r="A139" s="42"/>
      <c r="B139" s="42"/>
      <c r="C139" s="15" t="s">
        <v>984</v>
      </c>
      <c r="D139" s="85" t="s">
        <v>979</v>
      </c>
      <c r="E139" s="43">
        <v>5.5</v>
      </c>
      <c r="F139" s="48"/>
      <c r="G139" s="48"/>
    </row>
    <row r="140" spans="1:7" s="14" customFormat="1" ht="15.75">
      <c r="A140" s="42"/>
      <c r="B140" s="42"/>
      <c r="C140" s="55" t="s">
        <v>1163</v>
      </c>
      <c r="D140" s="85" t="s">
        <v>979</v>
      </c>
      <c r="E140" s="43">
        <f>E139*1.1</f>
        <v>6.0500000000000007</v>
      </c>
      <c r="F140" s="48"/>
      <c r="G140" s="48"/>
    </row>
    <row r="141" spans="1:7" s="14" customFormat="1" ht="15.75">
      <c r="A141" s="42"/>
      <c r="B141" s="42"/>
      <c r="C141" s="259" t="s">
        <v>1077</v>
      </c>
      <c r="D141" s="85" t="s">
        <v>979</v>
      </c>
      <c r="E141" s="43">
        <f>E139*1.1</f>
        <v>6.0500000000000007</v>
      </c>
      <c r="F141" s="48"/>
      <c r="G141" s="48"/>
    </row>
    <row r="142" spans="1:7" s="14" customFormat="1" ht="25.5">
      <c r="A142" s="42"/>
      <c r="B142" s="42"/>
      <c r="C142" s="259" t="s">
        <v>1072</v>
      </c>
      <c r="D142" s="277" t="s">
        <v>90</v>
      </c>
      <c r="E142" s="278">
        <f>E139*34</f>
        <v>187</v>
      </c>
      <c r="F142" s="48"/>
      <c r="G142" s="48"/>
    </row>
    <row r="143" spans="1:7" s="14" customFormat="1">
      <c r="A143" s="42"/>
      <c r="B143" s="42"/>
      <c r="C143" s="55" t="s">
        <v>427</v>
      </c>
      <c r="D143" s="85" t="s">
        <v>9</v>
      </c>
      <c r="E143" s="43">
        <f>E139*6.7</f>
        <v>36.85</v>
      </c>
      <c r="F143" s="48"/>
      <c r="G143" s="48"/>
    </row>
    <row r="144" spans="1:7" s="14" customFormat="1" ht="15.75">
      <c r="A144" s="42"/>
      <c r="B144" s="42"/>
      <c r="C144" s="55" t="s">
        <v>428</v>
      </c>
      <c r="D144" s="85" t="s">
        <v>979</v>
      </c>
      <c r="E144" s="43">
        <f>E139*1.1</f>
        <v>6.0500000000000007</v>
      </c>
      <c r="F144" s="48"/>
      <c r="G144" s="48"/>
    </row>
    <row r="145" spans="1:7" s="14" customFormat="1" ht="15.75">
      <c r="A145" s="42"/>
      <c r="B145" s="42"/>
      <c r="C145" s="15" t="s">
        <v>985</v>
      </c>
      <c r="D145" s="85" t="s">
        <v>979</v>
      </c>
      <c r="E145" s="43">
        <v>40.1</v>
      </c>
      <c r="F145" s="48"/>
      <c r="G145" s="48"/>
    </row>
    <row r="146" spans="1:7" s="14" customFormat="1">
      <c r="A146" s="42"/>
      <c r="B146" s="42"/>
      <c r="C146" s="55" t="s">
        <v>433</v>
      </c>
      <c r="D146" s="85" t="s">
        <v>9</v>
      </c>
      <c r="E146" s="43">
        <f>E145*6.7</f>
        <v>268.67</v>
      </c>
      <c r="F146" s="48"/>
      <c r="G146" s="48"/>
    </row>
    <row r="147" spans="1:7" s="14" customFormat="1" ht="25.5">
      <c r="A147" s="42"/>
      <c r="B147" s="42"/>
      <c r="C147" s="259" t="s">
        <v>1072</v>
      </c>
      <c r="D147" s="277" t="s">
        <v>90</v>
      </c>
      <c r="E147" s="278">
        <f>E145*34</f>
        <v>1363.4</v>
      </c>
      <c r="F147" s="48"/>
      <c r="G147" s="48"/>
    </row>
    <row r="148" spans="1:7" s="14" customFormat="1" ht="15.75">
      <c r="A148" s="42"/>
      <c r="B148" s="42"/>
      <c r="C148" s="55" t="s">
        <v>434</v>
      </c>
      <c r="D148" s="85" t="s">
        <v>979</v>
      </c>
      <c r="E148" s="43">
        <f>E145*1.1</f>
        <v>44.110000000000007</v>
      </c>
      <c r="F148" s="48"/>
      <c r="G148" s="48"/>
    </row>
    <row r="149" spans="1:7" s="14" customFormat="1" ht="25.5">
      <c r="A149" s="42"/>
      <c r="B149" s="42"/>
      <c r="C149" s="55" t="s">
        <v>1078</v>
      </c>
      <c r="D149" s="85" t="s">
        <v>979</v>
      </c>
      <c r="E149" s="43">
        <f>E145*1.1*2</f>
        <v>88.220000000000013</v>
      </c>
      <c r="F149" s="48"/>
      <c r="G149" s="48"/>
    </row>
    <row r="150" spans="1:7" s="14" customFormat="1" ht="15.75">
      <c r="A150" s="42"/>
      <c r="B150" s="42"/>
      <c r="C150" s="15" t="s">
        <v>986</v>
      </c>
      <c r="D150" s="85" t="s">
        <v>979</v>
      </c>
      <c r="E150" s="43">
        <v>24.7</v>
      </c>
      <c r="F150" s="48"/>
      <c r="G150" s="48"/>
    </row>
    <row r="151" spans="1:7" s="14" customFormat="1" ht="25.5">
      <c r="A151" s="42"/>
      <c r="B151" s="42"/>
      <c r="C151" s="55" t="s">
        <v>1078</v>
      </c>
      <c r="D151" s="85" t="s">
        <v>979</v>
      </c>
      <c r="E151" s="43">
        <f>E150*1.1*2</f>
        <v>54.34</v>
      </c>
      <c r="F151" s="48"/>
      <c r="G151" s="48"/>
    </row>
    <row r="152" spans="1:7" s="14" customFormat="1" ht="25.5">
      <c r="A152" s="42"/>
      <c r="B152" s="42"/>
      <c r="C152" s="259" t="s">
        <v>1072</v>
      </c>
      <c r="D152" s="277" t="s">
        <v>90</v>
      </c>
      <c r="E152" s="278">
        <f>E150*34</f>
        <v>839.8</v>
      </c>
      <c r="F152" s="48"/>
      <c r="G152" s="48"/>
    </row>
    <row r="153" spans="1:7" s="14" customFormat="1">
      <c r="A153" s="42"/>
      <c r="B153" s="42"/>
      <c r="C153" s="55" t="s">
        <v>433</v>
      </c>
      <c r="D153" s="85" t="s">
        <v>9</v>
      </c>
      <c r="E153" s="43">
        <f>E150*6.7</f>
        <v>165.49</v>
      </c>
      <c r="F153" s="48"/>
      <c r="G153" s="48"/>
    </row>
    <row r="154" spans="1:7" s="14" customFormat="1" ht="15.75">
      <c r="A154" s="42"/>
      <c r="B154" s="42"/>
      <c r="C154" s="55" t="s">
        <v>434</v>
      </c>
      <c r="D154" s="85" t="s">
        <v>979</v>
      </c>
      <c r="E154" s="43">
        <f>E150*1.1</f>
        <v>27.17</v>
      </c>
      <c r="F154" s="48"/>
      <c r="G154" s="48"/>
    </row>
    <row r="155" spans="1:7" s="14" customFormat="1" ht="25.5">
      <c r="A155" s="42"/>
      <c r="B155" s="42"/>
      <c r="C155" s="55" t="s">
        <v>1078</v>
      </c>
      <c r="D155" s="85" t="s">
        <v>979</v>
      </c>
      <c r="E155" s="43">
        <f>E150*1.1*2</f>
        <v>54.34</v>
      </c>
      <c r="F155" s="48"/>
      <c r="G155" s="48"/>
    </row>
    <row r="156" spans="1:7" s="14" customFormat="1" ht="15.75">
      <c r="A156" s="42"/>
      <c r="B156" s="42"/>
      <c r="C156" s="15" t="s">
        <v>987</v>
      </c>
      <c r="D156" s="85" t="s">
        <v>979</v>
      </c>
      <c r="E156" s="43">
        <v>21.8</v>
      </c>
      <c r="F156" s="48"/>
      <c r="G156" s="48"/>
    </row>
    <row r="157" spans="1:7" s="14" customFormat="1" ht="25.5">
      <c r="A157" s="42"/>
      <c r="B157" s="42"/>
      <c r="C157" s="55" t="s">
        <v>1078</v>
      </c>
      <c r="D157" s="85" t="s">
        <v>979</v>
      </c>
      <c r="E157" s="43">
        <f>E156*1.1*2</f>
        <v>47.960000000000008</v>
      </c>
      <c r="F157" s="48"/>
      <c r="G157" s="48"/>
    </row>
    <row r="158" spans="1:7" s="14" customFormat="1" ht="25.5">
      <c r="A158" s="42"/>
      <c r="B158" s="42"/>
      <c r="C158" s="259" t="s">
        <v>1072</v>
      </c>
      <c r="D158" s="277" t="s">
        <v>90</v>
      </c>
      <c r="E158" s="278">
        <f>E156*34</f>
        <v>741.2</v>
      </c>
      <c r="F158" s="48"/>
      <c r="G158" s="48"/>
    </row>
    <row r="159" spans="1:7" s="14" customFormat="1">
      <c r="A159" s="42"/>
      <c r="B159" s="42"/>
      <c r="C159" s="55" t="s">
        <v>435</v>
      </c>
      <c r="D159" s="85" t="s">
        <v>9</v>
      </c>
      <c r="E159" s="43">
        <f>E156*6.7</f>
        <v>146.06</v>
      </c>
      <c r="F159" s="48"/>
      <c r="G159" s="48"/>
    </row>
    <row r="160" spans="1:7" s="14" customFormat="1" ht="25.5">
      <c r="A160" s="42"/>
      <c r="B160" s="42"/>
      <c r="C160" s="55" t="s">
        <v>1078</v>
      </c>
      <c r="D160" s="85" t="s">
        <v>979</v>
      </c>
      <c r="E160" s="43">
        <f>E156*1.1*2</f>
        <v>47.960000000000008</v>
      </c>
      <c r="F160" s="48"/>
      <c r="G160" s="48"/>
    </row>
    <row r="161" spans="1:7" s="14" customFormat="1" ht="15.75">
      <c r="A161" s="42"/>
      <c r="B161" s="42"/>
      <c r="C161" s="15" t="s">
        <v>988</v>
      </c>
      <c r="D161" s="85" t="s">
        <v>979</v>
      </c>
      <c r="E161" s="43">
        <v>14</v>
      </c>
      <c r="F161" s="48"/>
      <c r="G161" s="48"/>
    </row>
    <row r="162" spans="1:7" s="14" customFormat="1" ht="25.5">
      <c r="A162" s="42"/>
      <c r="B162" s="42"/>
      <c r="C162" s="55" t="s">
        <v>1164</v>
      </c>
      <c r="D162" s="85" t="s">
        <v>979</v>
      </c>
      <c r="E162" s="43">
        <f>E161*1.1</f>
        <v>15.400000000000002</v>
      </c>
      <c r="F162" s="48"/>
      <c r="G162" s="48"/>
    </row>
    <row r="163" spans="1:7" s="14" customFormat="1">
      <c r="A163" s="42"/>
      <c r="B163" s="42"/>
      <c r="C163" s="55" t="s">
        <v>944</v>
      </c>
      <c r="D163" s="85" t="s">
        <v>943</v>
      </c>
      <c r="E163" s="43">
        <f>E161*0.15</f>
        <v>2.1</v>
      </c>
      <c r="F163" s="48"/>
      <c r="G163" s="48"/>
    </row>
    <row r="164" spans="1:7" s="14" customFormat="1">
      <c r="A164" s="42"/>
      <c r="B164" s="42"/>
      <c r="C164" s="55" t="s">
        <v>1060</v>
      </c>
      <c r="D164" s="85" t="s">
        <v>7</v>
      </c>
      <c r="E164" s="43">
        <f>E161*1.15</f>
        <v>16.099999999999998</v>
      </c>
      <c r="F164" s="48"/>
      <c r="G164" s="48"/>
    </row>
    <row r="165" spans="1:7" s="14" customFormat="1" ht="15.75">
      <c r="A165" s="42"/>
      <c r="B165" s="42"/>
      <c r="C165" s="55" t="s">
        <v>424</v>
      </c>
      <c r="D165" s="85" t="s">
        <v>979</v>
      </c>
      <c r="E165" s="43">
        <f>E161*1.1</f>
        <v>15.400000000000002</v>
      </c>
      <c r="F165" s="48"/>
      <c r="G165" s="48"/>
    </row>
    <row r="166" spans="1:7" s="14" customFormat="1" ht="25.5">
      <c r="A166" s="76"/>
      <c r="B166" s="76" t="s">
        <v>411</v>
      </c>
      <c r="C166" s="72" t="s">
        <v>701</v>
      </c>
      <c r="D166" s="80"/>
      <c r="E166" s="81"/>
      <c r="F166" s="48"/>
      <c r="G166" s="48"/>
    </row>
    <row r="167" spans="1:7" s="14" customFormat="1" ht="15.75">
      <c r="A167" s="42"/>
      <c r="B167" s="42"/>
      <c r="C167" s="15" t="s">
        <v>965</v>
      </c>
      <c r="D167" s="85" t="s">
        <v>175</v>
      </c>
      <c r="E167" s="43">
        <v>215</v>
      </c>
      <c r="F167" s="48"/>
      <c r="G167" s="48"/>
    </row>
    <row r="168" spans="1:7" s="14" customFormat="1" ht="25.5">
      <c r="A168" s="42"/>
      <c r="B168" s="42"/>
      <c r="C168" s="55" t="s">
        <v>1165</v>
      </c>
      <c r="D168" s="85" t="s">
        <v>175</v>
      </c>
      <c r="E168" s="43">
        <f>E167*1.1</f>
        <v>236.50000000000003</v>
      </c>
      <c r="F168" s="48"/>
      <c r="G168" s="48"/>
    </row>
    <row r="169" spans="1:7" s="14" customFormat="1">
      <c r="A169" s="42"/>
      <c r="B169" s="42"/>
      <c r="C169" s="55" t="s">
        <v>944</v>
      </c>
      <c r="D169" s="85" t="s">
        <v>943</v>
      </c>
      <c r="E169" s="43">
        <f>E167*0.15</f>
        <v>32.25</v>
      </c>
      <c r="F169" s="48"/>
      <c r="G169" s="48"/>
    </row>
    <row r="170" spans="1:7" s="14" customFormat="1">
      <c r="A170" s="42"/>
      <c r="B170" s="42"/>
      <c r="C170" s="55" t="s">
        <v>1060</v>
      </c>
      <c r="D170" s="85" t="s">
        <v>7</v>
      </c>
      <c r="E170" s="43">
        <f>E167*1.15</f>
        <v>247.24999999999997</v>
      </c>
      <c r="F170" s="48"/>
      <c r="G170" s="48"/>
    </row>
    <row r="171" spans="1:7" s="14" customFormat="1" ht="15.75">
      <c r="A171" s="42"/>
      <c r="B171" s="42"/>
      <c r="C171" s="55" t="s">
        <v>424</v>
      </c>
      <c r="D171" s="85" t="s">
        <v>175</v>
      </c>
      <c r="E171" s="43">
        <f>E167*1.1</f>
        <v>236.50000000000003</v>
      </c>
      <c r="F171" s="48"/>
      <c r="G171" s="48"/>
    </row>
    <row r="172" spans="1:7" s="14" customFormat="1" ht="15.75">
      <c r="A172" s="42"/>
      <c r="B172" s="42"/>
      <c r="C172" s="15" t="s">
        <v>966</v>
      </c>
      <c r="D172" s="85" t="s">
        <v>175</v>
      </c>
      <c r="E172" s="43">
        <v>236.2</v>
      </c>
      <c r="F172" s="48"/>
      <c r="G172" s="48"/>
    </row>
    <row r="173" spans="1:7" s="14" customFormat="1" ht="25.5">
      <c r="A173" s="42"/>
      <c r="B173" s="42"/>
      <c r="C173" s="55" t="s">
        <v>1166</v>
      </c>
      <c r="D173" s="85" t="s">
        <v>175</v>
      </c>
      <c r="E173" s="43">
        <v>260</v>
      </c>
      <c r="F173" s="48"/>
      <c r="G173" s="48"/>
    </row>
    <row r="174" spans="1:7" s="14" customFormat="1" ht="15.75">
      <c r="A174" s="42"/>
      <c r="B174" s="42"/>
      <c r="C174" s="15" t="s">
        <v>1069</v>
      </c>
      <c r="D174" s="85" t="s">
        <v>175</v>
      </c>
      <c r="E174" s="43">
        <v>211.3</v>
      </c>
      <c r="F174" s="48"/>
      <c r="G174" s="48"/>
    </row>
    <row r="175" spans="1:7" s="14" customFormat="1" ht="15.75">
      <c r="A175" s="42"/>
      <c r="B175" s="42"/>
      <c r="C175" s="55" t="s">
        <v>447</v>
      </c>
      <c r="D175" s="85" t="s">
        <v>175</v>
      </c>
      <c r="E175" s="43">
        <v>232</v>
      </c>
      <c r="F175" s="48"/>
      <c r="G175" s="48"/>
    </row>
    <row r="176" spans="1:7" s="14" customFormat="1" ht="25.5">
      <c r="A176" s="42"/>
      <c r="B176" s="42"/>
      <c r="C176" s="55" t="s">
        <v>1079</v>
      </c>
      <c r="D176" s="85" t="s">
        <v>175</v>
      </c>
      <c r="E176" s="43">
        <v>232</v>
      </c>
      <c r="F176" s="48"/>
      <c r="G176" s="48"/>
    </row>
    <row r="177" spans="1:7" s="14" customFormat="1" ht="15.75">
      <c r="A177" s="42"/>
      <c r="B177" s="42"/>
      <c r="C177" s="15" t="s">
        <v>967</v>
      </c>
      <c r="D177" s="85" t="s">
        <v>175</v>
      </c>
      <c r="E177" s="43">
        <v>30</v>
      </c>
      <c r="F177" s="48"/>
      <c r="G177" s="48"/>
    </row>
    <row r="178" spans="1:7" s="14" customFormat="1" ht="15.75">
      <c r="A178" s="42"/>
      <c r="B178" s="42"/>
      <c r="C178" s="55" t="s">
        <v>447</v>
      </c>
      <c r="D178" s="85" t="s">
        <v>175</v>
      </c>
      <c r="E178" s="43">
        <v>33</v>
      </c>
      <c r="F178" s="48"/>
      <c r="G178" s="48"/>
    </row>
    <row r="179" spans="1:7" s="14" customFormat="1" ht="25.5">
      <c r="A179" s="42"/>
      <c r="B179" s="42"/>
      <c r="C179" s="55" t="s">
        <v>1079</v>
      </c>
      <c r="D179" s="85" t="s">
        <v>175</v>
      </c>
      <c r="E179" s="43">
        <v>33</v>
      </c>
      <c r="F179" s="48"/>
      <c r="G179" s="48"/>
    </row>
    <row r="180" spans="1:7" s="14" customFormat="1" ht="25.5">
      <c r="A180" s="76"/>
      <c r="B180" s="76" t="s">
        <v>411</v>
      </c>
      <c r="C180" s="72" t="s">
        <v>410</v>
      </c>
      <c r="D180" s="80"/>
      <c r="E180" s="81"/>
      <c r="F180" s="48"/>
      <c r="G180" s="48"/>
    </row>
    <row r="181" spans="1:7" s="14" customFormat="1" ht="15.75">
      <c r="A181" s="60"/>
      <c r="B181" s="261"/>
      <c r="C181" s="15" t="s">
        <v>418</v>
      </c>
      <c r="D181" s="85" t="s">
        <v>175</v>
      </c>
      <c r="E181" s="52">
        <v>6.8</v>
      </c>
      <c r="F181" s="48"/>
      <c r="G181" s="48"/>
    </row>
    <row r="182" spans="1:7" s="14" customFormat="1">
      <c r="A182" s="60"/>
      <c r="B182" s="261"/>
      <c r="C182" s="263" t="s">
        <v>936</v>
      </c>
      <c r="D182" s="280" t="s">
        <v>7</v>
      </c>
      <c r="E182" s="52">
        <f>E181*1.05</f>
        <v>7.14</v>
      </c>
      <c r="F182" s="48"/>
      <c r="G182" s="48"/>
    </row>
    <row r="183" spans="1:7" s="14" customFormat="1">
      <c r="A183" s="60"/>
      <c r="B183" s="261"/>
      <c r="C183" s="263" t="s">
        <v>937</v>
      </c>
      <c r="D183" s="280" t="s">
        <v>11</v>
      </c>
      <c r="E183" s="52">
        <f>E181*3.5</f>
        <v>23.8</v>
      </c>
      <c r="F183" s="48"/>
      <c r="G183" s="48"/>
    </row>
    <row r="184" spans="1:7" s="14" customFormat="1">
      <c r="A184" s="60"/>
      <c r="B184" s="261"/>
      <c r="C184" s="263" t="s">
        <v>938</v>
      </c>
      <c r="D184" s="280" t="s">
        <v>11</v>
      </c>
      <c r="E184" s="52">
        <f>E181*0.8</f>
        <v>5.44</v>
      </c>
      <c r="F184" s="48"/>
      <c r="G184" s="48"/>
    </row>
    <row r="185" spans="1:7" s="14" customFormat="1">
      <c r="A185" s="60"/>
      <c r="B185" s="261"/>
      <c r="C185" s="263" t="s">
        <v>939</v>
      </c>
      <c r="D185" s="280" t="s">
        <v>940</v>
      </c>
      <c r="E185" s="52">
        <f>E181*0.08</f>
        <v>0.54400000000000004</v>
      </c>
      <c r="F185" s="48"/>
      <c r="G185" s="48"/>
    </row>
    <row r="186" spans="1:7" s="14" customFormat="1">
      <c r="A186" s="60"/>
      <c r="B186" s="261"/>
      <c r="C186" s="263" t="s">
        <v>944</v>
      </c>
      <c r="D186" s="280" t="s">
        <v>943</v>
      </c>
      <c r="E186" s="52">
        <f>E181*0.1</f>
        <v>0.68</v>
      </c>
      <c r="F186" s="48"/>
      <c r="G186" s="48"/>
    </row>
    <row r="187" spans="1:7" s="14" customFormat="1" ht="15.75">
      <c r="A187" s="60"/>
      <c r="B187" s="261"/>
      <c r="C187" s="15" t="s">
        <v>419</v>
      </c>
      <c r="D187" s="85" t="s">
        <v>175</v>
      </c>
      <c r="E187" s="52">
        <v>28.7</v>
      </c>
      <c r="F187" s="48"/>
      <c r="G187" s="48"/>
    </row>
    <row r="188" spans="1:7" s="14" customFormat="1">
      <c r="A188" s="60"/>
      <c r="B188" s="261"/>
      <c r="C188" s="263" t="s">
        <v>936</v>
      </c>
      <c r="D188" s="280" t="s">
        <v>7</v>
      </c>
      <c r="E188" s="52">
        <f>E187*1.05</f>
        <v>30.135000000000002</v>
      </c>
      <c r="F188" s="48"/>
      <c r="G188" s="48"/>
    </row>
    <row r="189" spans="1:7" s="14" customFormat="1">
      <c r="A189" s="60"/>
      <c r="B189" s="261"/>
      <c r="C189" s="263" t="s">
        <v>937</v>
      </c>
      <c r="D189" s="280" t="s">
        <v>11</v>
      </c>
      <c r="E189" s="52">
        <f>E187*3.5</f>
        <v>100.45</v>
      </c>
      <c r="F189" s="48"/>
      <c r="G189" s="48"/>
    </row>
    <row r="190" spans="1:7" s="14" customFormat="1">
      <c r="A190" s="60"/>
      <c r="B190" s="261"/>
      <c r="C190" s="263" t="s">
        <v>938</v>
      </c>
      <c r="D190" s="280" t="s">
        <v>11</v>
      </c>
      <c r="E190" s="52">
        <f>E187*0.8</f>
        <v>22.96</v>
      </c>
      <c r="F190" s="48"/>
      <c r="G190" s="48"/>
    </row>
    <row r="191" spans="1:7" s="14" customFormat="1">
      <c r="A191" s="60"/>
      <c r="B191" s="261"/>
      <c r="C191" s="263" t="s">
        <v>939</v>
      </c>
      <c r="D191" s="280" t="s">
        <v>940</v>
      </c>
      <c r="E191" s="52">
        <f>E187*0.08</f>
        <v>2.2959999999999998</v>
      </c>
      <c r="F191" s="48"/>
      <c r="G191" s="48"/>
    </row>
    <row r="192" spans="1:7" s="14" customFormat="1">
      <c r="A192" s="60"/>
      <c r="B192" s="261"/>
      <c r="C192" s="263" t="s">
        <v>944</v>
      </c>
      <c r="D192" s="280" t="s">
        <v>943</v>
      </c>
      <c r="E192" s="52">
        <f>E187*0.1</f>
        <v>2.87</v>
      </c>
      <c r="F192" s="48"/>
      <c r="G192" s="48"/>
    </row>
    <row r="193" spans="1:7" s="14" customFormat="1" ht="15.75">
      <c r="A193" s="60"/>
      <c r="B193" s="261"/>
      <c r="C193" s="15" t="s">
        <v>420</v>
      </c>
      <c r="D193" s="85" t="s">
        <v>175</v>
      </c>
      <c r="E193" s="52">
        <v>197.4</v>
      </c>
      <c r="F193" s="48"/>
      <c r="G193" s="48"/>
    </row>
    <row r="194" spans="1:7" s="14" customFormat="1" ht="15.75">
      <c r="A194" s="60"/>
      <c r="B194" s="261"/>
      <c r="C194" s="15" t="s">
        <v>421</v>
      </c>
      <c r="D194" s="85" t="s">
        <v>175</v>
      </c>
      <c r="E194" s="52">
        <v>188.9</v>
      </c>
      <c r="F194" s="48"/>
      <c r="G194" s="48"/>
    </row>
    <row r="195" spans="1:7" s="14" customFormat="1" ht="15.75">
      <c r="A195" s="60"/>
      <c r="B195" s="261"/>
      <c r="C195" s="55" t="s">
        <v>942</v>
      </c>
      <c r="D195" s="85" t="s">
        <v>175</v>
      </c>
      <c r="E195" s="52">
        <f>E194*1.05</f>
        <v>198.34500000000003</v>
      </c>
      <c r="F195" s="48"/>
      <c r="G195" s="48"/>
    </row>
    <row r="196" spans="1:7" s="14" customFormat="1" ht="25.5">
      <c r="A196" s="60"/>
      <c r="B196" s="261"/>
      <c r="C196" s="55" t="s">
        <v>1167</v>
      </c>
      <c r="D196" s="85" t="s">
        <v>943</v>
      </c>
      <c r="E196" s="52">
        <v>20</v>
      </c>
      <c r="F196" s="48"/>
      <c r="G196" s="48"/>
    </row>
    <row r="197" spans="1:7" s="14" customFormat="1">
      <c r="A197" s="60"/>
      <c r="B197" s="261"/>
      <c r="C197" s="55" t="s">
        <v>944</v>
      </c>
      <c r="D197" s="85" t="s">
        <v>943</v>
      </c>
      <c r="E197" s="52">
        <f>E193*0.1</f>
        <v>19.740000000000002</v>
      </c>
      <c r="F197" s="48"/>
      <c r="G197" s="48"/>
    </row>
    <row r="198" spans="1:7" s="14" customFormat="1">
      <c r="A198" s="60"/>
      <c r="B198" s="261"/>
      <c r="C198" s="61" t="s">
        <v>951</v>
      </c>
      <c r="D198" s="85" t="s">
        <v>9</v>
      </c>
      <c r="E198" s="52"/>
      <c r="F198" s="48"/>
      <c r="G198" s="48"/>
    </row>
    <row r="199" spans="1:7" s="14" customFormat="1" ht="15.75">
      <c r="A199" s="60"/>
      <c r="B199" s="261"/>
      <c r="C199" s="15" t="s">
        <v>422</v>
      </c>
      <c r="D199" s="85" t="s">
        <v>175</v>
      </c>
      <c r="E199" s="52">
        <v>44.5</v>
      </c>
      <c r="F199" s="48"/>
      <c r="G199" s="48"/>
    </row>
    <row r="200" spans="1:7" s="14" customFormat="1" ht="15.75">
      <c r="A200" s="60"/>
      <c r="B200" s="261"/>
      <c r="C200" s="178" t="s">
        <v>945</v>
      </c>
      <c r="D200" s="85" t="s">
        <v>175</v>
      </c>
      <c r="E200" s="63">
        <f>E199*1.05</f>
        <v>46.725000000000001</v>
      </c>
      <c r="F200" s="48"/>
      <c r="G200" s="48"/>
    </row>
    <row r="201" spans="1:7" s="14" customFormat="1" ht="25.5">
      <c r="A201" s="60"/>
      <c r="B201" s="261"/>
      <c r="C201" s="55" t="s">
        <v>1168</v>
      </c>
      <c r="D201" s="85" t="s">
        <v>11</v>
      </c>
      <c r="E201" s="63">
        <f>E199*0.35</f>
        <v>15.574999999999999</v>
      </c>
      <c r="F201" s="48"/>
      <c r="G201" s="48"/>
    </row>
    <row r="202" spans="1:7" s="14" customFormat="1">
      <c r="A202" s="60"/>
      <c r="B202" s="261"/>
      <c r="C202" s="178" t="s">
        <v>944</v>
      </c>
      <c r="D202" s="85" t="s">
        <v>943</v>
      </c>
      <c r="E202" s="52">
        <f>E197*0.1</f>
        <v>1.9740000000000002</v>
      </c>
      <c r="F202" s="48"/>
      <c r="G202" s="48"/>
    </row>
    <row r="203" spans="1:7" s="14" customFormat="1">
      <c r="A203" s="60"/>
      <c r="B203" s="261"/>
      <c r="C203" s="61" t="s">
        <v>951</v>
      </c>
      <c r="D203" s="85" t="s">
        <v>9</v>
      </c>
      <c r="E203" s="63"/>
      <c r="F203" s="48"/>
      <c r="G203" s="48"/>
    </row>
    <row r="204" spans="1:7" s="14" customFormat="1" ht="25.5">
      <c r="A204" s="60"/>
      <c r="B204" s="261"/>
      <c r="C204" s="61" t="s">
        <v>415</v>
      </c>
      <c r="D204" s="85" t="s">
        <v>175</v>
      </c>
      <c r="E204" s="63">
        <v>434.57</v>
      </c>
      <c r="F204" s="48"/>
      <c r="G204" s="48"/>
    </row>
    <row r="205" spans="1:7" s="14" customFormat="1" ht="25.5">
      <c r="A205" s="60"/>
      <c r="B205" s="261"/>
      <c r="C205" s="263" t="s">
        <v>1169</v>
      </c>
      <c r="D205" s="85" t="s">
        <v>11</v>
      </c>
      <c r="E205" s="63">
        <f>E204*2</f>
        <v>869.14</v>
      </c>
      <c r="F205" s="48"/>
      <c r="G205" s="48"/>
    </row>
    <row r="206" spans="1:7" s="14" customFormat="1">
      <c r="A206" s="60"/>
      <c r="B206" s="261"/>
      <c r="C206" s="263" t="s">
        <v>1170</v>
      </c>
      <c r="D206" s="85" t="s">
        <v>946</v>
      </c>
      <c r="E206" s="63">
        <f>E204*0.1</f>
        <v>43.457000000000001</v>
      </c>
      <c r="F206" s="48"/>
      <c r="G206" s="48"/>
    </row>
    <row r="207" spans="1:7" s="14" customFormat="1">
      <c r="A207" s="60"/>
      <c r="B207" s="261"/>
      <c r="C207" s="263" t="s">
        <v>949</v>
      </c>
      <c r="D207" s="85" t="s">
        <v>948</v>
      </c>
      <c r="E207" s="63">
        <v>25.040666666666667</v>
      </c>
      <c r="F207" s="48"/>
      <c r="G207" s="48"/>
    </row>
    <row r="208" spans="1:7" s="14" customFormat="1">
      <c r="A208" s="60"/>
      <c r="B208" s="261"/>
      <c r="C208" s="263" t="s">
        <v>950</v>
      </c>
      <c r="D208" s="85" t="s">
        <v>943</v>
      </c>
      <c r="E208" s="63">
        <f>E204*0.3</f>
        <v>130.37099999999998</v>
      </c>
      <c r="F208" s="48"/>
      <c r="G208" s="48"/>
    </row>
    <row r="209" spans="1:7" s="14" customFormat="1" ht="25.5">
      <c r="A209" s="60"/>
      <c r="B209" s="261"/>
      <c r="C209" s="15" t="s">
        <v>416</v>
      </c>
      <c r="D209" s="85" t="s">
        <v>175</v>
      </c>
      <c r="E209" s="52">
        <v>912.56</v>
      </c>
      <c r="F209" s="48"/>
      <c r="G209" s="48"/>
    </row>
    <row r="210" spans="1:7" s="14" customFormat="1" ht="25.5">
      <c r="A210" s="60"/>
      <c r="B210" s="261"/>
      <c r="C210" s="263" t="s">
        <v>1169</v>
      </c>
      <c r="D210" s="85" t="s">
        <v>11</v>
      </c>
      <c r="E210" s="63">
        <f>E209*0.8</f>
        <v>730.048</v>
      </c>
      <c r="F210" s="48"/>
      <c r="G210" s="48"/>
    </row>
    <row r="211" spans="1:7" s="14" customFormat="1">
      <c r="A211" s="60"/>
      <c r="B211" s="261"/>
      <c r="C211" s="263" t="s">
        <v>1170</v>
      </c>
      <c r="D211" s="85" t="s">
        <v>946</v>
      </c>
      <c r="E211" s="63">
        <f>E209*0.2</f>
        <v>182.512</v>
      </c>
      <c r="F211" s="48"/>
      <c r="G211" s="48"/>
    </row>
    <row r="212" spans="1:7" s="14" customFormat="1">
      <c r="A212" s="60"/>
      <c r="B212" s="261"/>
      <c r="C212" s="263" t="s">
        <v>947</v>
      </c>
      <c r="D212" s="85" t="s">
        <v>948</v>
      </c>
      <c r="E212" s="63">
        <f>E209*0.005</f>
        <v>4.5628000000000002</v>
      </c>
      <c r="F212" s="48"/>
      <c r="G212" s="48"/>
    </row>
    <row r="213" spans="1:7" s="14" customFormat="1">
      <c r="A213" s="60"/>
      <c r="B213" s="261"/>
      <c r="C213" s="263" t="s">
        <v>950</v>
      </c>
      <c r="D213" s="85" t="s">
        <v>943</v>
      </c>
      <c r="E213" s="63">
        <f>E209*0.35</f>
        <v>319.39599999999996</v>
      </c>
      <c r="F213" s="48"/>
      <c r="G213" s="48"/>
    </row>
    <row r="214" spans="1:7" s="14" customFormat="1" ht="15.75">
      <c r="A214" s="60"/>
      <c r="B214" s="261"/>
      <c r="C214" s="15" t="s">
        <v>417</v>
      </c>
      <c r="D214" s="85" t="s">
        <v>175</v>
      </c>
      <c r="E214" s="52">
        <v>136.03</v>
      </c>
      <c r="F214" s="48"/>
      <c r="G214" s="48"/>
    </row>
    <row r="215" spans="1:7" s="14" customFormat="1">
      <c r="A215" s="60"/>
      <c r="B215" s="261"/>
      <c r="C215" s="263" t="s">
        <v>952</v>
      </c>
      <c r="D215" s="280" t="s">
        <v>7</v>
      </c>
      <c r="E215" s="52">
        <f>E214*1.05</f>
        <v>142.83150000000001</v>
      </c>
      <c r="F215" s="48"/>
      <c r="G215" s="48"/>
    </row>
    <row r="216" spans="1:7" s="14" customFormat="1" ht="25.5">
      <c r="A216" s="60"/>
      <c r="B216" s="261"/>
      <c r="C216" s="263" t="s">
        <v>1171</v>
      </c>
      <c r="D216" s="280" t="s">
        <v>11</v>
      </c>
      <c r="E216" s="52">
        <f>E214*4</f>
        <v>544.12</v>
      </c>
      <c r="F216" s="48"/>
      <c r="G216" s="48"/>
    </row>
    <row r="217" spans="1:7" s="14" customFormat="1">
      <c r="A217" s="60"/>
      <c r="B217" s="261"/>
      <c r="C217" s="263" t="s">
        <v>939</v>
      </c>
      <c r="D217" s="280" t="s">
        <v>727</v>
      </c>
      <c r="E217" s="52">
        <f>E214*0.005</f>
        <v>0.68015000000000003</v>
      </c>
      <c r="F217" s="48"/>
      <c r="G217" s="48"/>
    </row>
    <row r="218" spans="1:7" s="14" customFormat="1">
      <c r="A218" s="60"/>
      <c r="B218" s="261"/>
      <c r="C218" s="263" t="s">
        <v>938</v>
      </c>
      <c r="D218" s="280" t="s">
        <v>11</v>
      </c>
      <c r="E218" s="52">
        <f>E213*0.8</f>
        <v>255.51679999999999</v>
      </c>
      <c r="F218" s="48"/>
      <c r="G218" s="48"/>
    </row>
    <row r="219" spans="1:7" s="14" customFormat="1" ht="25.5">
      <c r="A219" s="60"/>
      <c r="B219" s="261"/>
      <c r="C219" s="15" t="s">
        <v>953</v>
      </c>
      <c r="D219" s="85" t="s">
        <v>175</v>
      </c>
      <c r="E219" s="52">
        <v>17.8</v>
      </c>
      <c r="F219" s="48"/>
      <c r="G219" s="48"/>
    </row>
    <row r="220" spans="1:7" s="14" customFormat="1" ht="15.75">
      <c r="A220" s="60"/>
      <c r="B220" s="261"/>
      <c r="C220" s="55" t="s">
        <v>955</v>
      </c>
      <c r="D220" s="85" t="s">
        <v>175</v>
      </c>
      <c r="E220" s="52">
        <f>E219*1.15</f>
        <v>20.47</v>
      </c>
      <c r="F220" s="48"/>
      <c r="G220" s="48"/>
    </row>
    <row r="221" spans="1:7" s="14" customFormat="1" ht="15.75">
      <c r="A221" s="60"/>
      <c r="B221" s="261"/>
      <c r="C221" s="55" t="s">
        <v>956</v>
      </c>
      <c r="D221" s="85" t="s">
        <v>175</v>
      </c>
      <c r="E221" s="52">
        <v>3.04</v>
      </c>
      <c r="F221" s="48"/>
      <c r="G221" s="48"/>
    </row>
    <row r="222" spans="1:7" s="14" customFormat="1" ht="15.75">
      <c r="A222" s="60"/>
      <c r="B222" s="261"/>
      <c r="C222" s="55" t="s">
        <v>954</v>
      </c>
      <c r="D222" s="85" t="s">
        <v>176</v>
      </c>
      <c r="E222" s="52">
        <v>0.1</v>
      </c>
      <c r="F222" s="48"/>
      <c r="G222" s="48"/>
    </row>
    <row r="223" spans="1:7" s="14" customFormat="1" ht="25.5">
      <c r="A223" s="60"/>
      <c r="B223" s="261"/>
      <c r="C223" s="55" t="s">
        <v>1172</v>
      </c>
      <c r="D223" s="85" t="s">
        <v>943</v>
      </c>
      <c r="E223" s="52">
        <f>E219*0.2</f>
        <v>3.5600000000000005</v>
      </c>
      <c r="F223" s="48"/>
      <c r="G223" s="48"/>
    </row>
    <row r="224" spans="1:7" s="14" customFormat="1" ht="25.5">
      <c r="A224" s="60"/>
      <c r="B224" s="261"/>
      <c r="C224" s="264" t="s">
        <v>957</v>
      </c>
      <c r="D224" s="280" t="s">
        <v>7</v>
      </c>
      <c r="E224" s="52">
        <v>215</v>
      </c>
      <c r="F224" s="48"/>
      <c r="G224" s="48"/>
    </row>
    <row r="225" spans="1:7" s="14" customFormat="1" ht="25.5">
      <c r="A225" s="60"/>
      <c r="B225" s="261"/>
      <c r="C225" s="263" t="s">
        <v>1169</v>
      </c>
      <c r="D225" s="280" t="s">
        <v>11</v>
      </c>
      <c r="E225" s="52">
        <f>E224*2</f>
        <v>430</v>
      </c>
      <c r="F225" s="48"/>
      <c r="G225" s="48"/>
    </row>
    <row r="226" spans="1:7" s="14" customFormat="1">
      <c r="A226" s="60"/>
      <c r="B226" s="261"/>
      <c r="C226" s="263" t="s">
        <v>1170</v>
      </c>
      <c r="D226" s="280" t="s">
        <v>946</v>
      </c>
      <c r="E226" s="52">
        <f>E224*0.3</f>
        <v>64.5</v>
      </c>
      <c r="F226" s="48"/>
      <c r="G226" s="48"/>
    </row>
    <row r="227" spans="1:7" s="14" customFormat="1" ht="15.75">
      <c r="A227" s="60"/>
      <c r="B227" s="261"/>
      <c r="C227" s="263" t="s">
        <v>958</v>
      </c>
      <c r="D227" s="280" t="s">
        <v>175</v>
      </c>
      <c r="E227" s="52">
        <f>E224*0.005</f>
        <v>1.075</v>
      </c>
      <c r="F227" s="48"/>
      <c r="G227" s="48"/>
    </row>
    <row r="228" spans="1:7" s="14" customFormat="1">
      <c r="A228" s="60"/>
      <c r="B228" s="261"/>
      <c r="C228" s="263" t="s">
        <v>950</v>
      </c>
      <c r="D228" s="280" t="s">
        <v>943</v>
      </c>
      <c r="E228" s="52">
        <f>E224*0.35</f>
        <v>75.25</v>
      </c>
      <c r="F228" s="48"/>
      <c r="G228" s="48"/>
    </row>
    <row r="229" spans="1:7" s="14" customFormat="1" ht="25.5">
      <c r="A229" s="60"/>
      <c r="B229" s="261"/>
      <c r="C229" s="264" t="s">
        <v>959</v>
      </c>
      <c r="D229" s="85" t="s">
        <v>175</v>
      </c>
      <c r="E229" s="52">
        <v>447.5</v>
      </c>
      <c r="F229" s="48"/>
      <c r="G229" s="48"/>
    </row>
    <row r="230" spans="1:7" s="14" customFormat="1" ht="25.5">
      <c r="A230" s="60"/>
      <c r="B230" s="261"/>
      <c r="C230" s="263" t="s">
        <v>1169</v>
      </c>
      <c r="D230" s="280" t="s">
        <v>11</v>
      </c>
      <c r="E230" s="52">
        <f>E229*0.8</f>
        <v>358</v>
      </c>
      <c r="F230" s="48"/>
      <c r="G230" s="48"/>
    </row>
    <row r="231" spans="1:7" s="14" customFormat="1">
      <c r="A231" s="60"/>
      <c r="B231" s="261"/>
      <c r="C231" s="263" t="s">
        <v>1170</v>
      </c>
      <c r="D231" s="280" t="s">
        <v>946</v>
      </c>
      <c r="E231" s="52">
        <f>E229*0.2</f>
        <v>89.5</v>
      </c>
      <c r="F231" s="48"/>
      <c r="G231" s="48"/>
    </row>
    <row r="232" spans="1:7" s="14" customFormat="1" ht="15.75">
      <c r="A232" s="60"/>
      <c r="B232" s="261"/>
      <c r="C232" s="263" t="s">
        <v>958</v>
      </c>
      <c r="D232" s="280" t="s">
        <v>175</v>
      </c>
      <c r="E232" s="52">
        <v>3.202666666666667</v>
      </c>
      <c r="F232" s="48"/>
      <c r="G232" s="48"/>
    </row>
    <row r="233" spans="1:7" s="14" customFormat="1">
      <c r="A233" s="60"/>
      <c r="B233" s="261"/>
      <c r="C233" s="265" t="s">
        <v>960</v>
      </c>
      <c r="D233" s="281" t="s">
        <v>943</v>
      </c>
      <c r="E233" s="52">
        <f>E229*0.35</f>
        <v>156.625</v>
      </c>
      <c r="F233" s="48"/>
      <c r="G233" s="48"/>
    </row>
    <row r="234" spans="1:7" s="14" customFormat="1" ht="25.5">
      <c r="A234" s="60"/>
      <c r="B234" s="261"/>
      <c r="C234" s="15" t="s">
        <v>1173</v>
      </c>
      <c r="D234" s="16" t="s">
        <v>175</v>
      </c>
      <c r="E234" s="52">
        <v>24.4</v>
      </c>
      <c r="F234" s="48"/>
      <c r="G234" s="48"/>
    </row>
    <row r="235" spans="1:7" s="14" customFormat="1" ht="25.5">
      <c r="A235" s="76"/>
      <c r="B235" s="76" t="s">
        <v>931</v>
      </c>
      <c r="C235" s="72" t="s">
        <v>712</v>
      </c>
      <c r="D235" s="80"/>
      <c r="E235" s="81"/>
      <c r="F235" s="48"/>
      <c r="G235" s="48"/>
    </row>
    <row r="236" spans="1:7" s="14" customFormat="1" ht="25.5">
      <c r="A236" s="176"/>
      <c r="B236" s="176"/>
      <c r="C236" s="57" t="s">
        <v>716</v>
      </c>
      <c r="D236" s="53" t="s">
        <v>90</v>
      </c>
      <c r="E236" s="58">
        <v>20</v>
      </c>
      <c r="F236" s="48"/>
      <c r="G236" s="48"/>
    </row>
    <row r="237" spans="1:7" s="14" customFormat="1">
      <c r="A237" s="42"/>
      <c r="B237" s="42"/>
      <c r="C237" s="55" t="s">
        <v>448</v>
      </c>
      <c r="D237" s="16" t="s">
        <v>90</v>
      </c>
      <c r="E237" s="52">
        <v>6</v>
      </c>
      <c r="F237" s="48"/>
      <c r="G237" s="48"/>
    </row>
    <row r="238" spans="1:7" s="14" customFormat="1">
      <c r="A238" s="42"/>
      <c r="B238" s="42"/>
      <c r="C238" s="55" t="s">
        <v>449</v>
      </c>
      <c r="D238" s="16" t="s">
        <v>90</v>
      </c>
      <c r="E238" s="52">
        <v>5</v>
      </c>
      <c r="F238" s="48"/>
      <c r="G238" s="48"/>
    </row>
    <row r="239" spans="1:7" s="14" customFormat="1">
      <c r="A239" s="42"/>
      <c r="B239" s="42"/>
      <c r="C239" s="55" t="s">
        <v>451</v>
      </c>
      <c r="D239" s="16" t="s">
        <v>90</v>
      </c>
      <c r="E239" s="52">
        <v>8</v>
      </c>
      <c r="F239" s="48"/>
      <c r="G239" s="48"/>
    </row>
    <row r="240" spans="1:7" s="14" customFormat="1">
      <c r="A240" s="42"/>
      <c r="B240" s="42"/>
      <c r="C240" s="55" t="s">
        <v>450</v>
      </c>
      <c r="D240" s="16" t="s">
        <v>90</v>
      </c>
      <c r="E240" s="52">
        <v>1</v>
      </c>
      <c r="F240" s="48"/>
      <c r="G240" s="282"/>
    </row>
    <row r="241" spans="1:7" s="14" customFormat="1" ht="15.75">
      <c r="A241" s="42"/>
      <c r="B241" s="42"/>
      <c r="C241" s="55" t="s">
        <v>719</v>
      </c>
      <c r="D241" s="85" t="s">
        <v>176</v>
      </c>
      <c r="E241" s="52">
        <v>1</v>
      </c>
      <c r="F241" s="48"/>
      <c r="G241" s="282"/>
    </row>
    <row r="242" spans="1:7" s="14" customFormat="1">
      <c r="A242" s="42"/>
      <c r="B242" s="42"/>
      <c r="C242" s="15" t="s">
        <v>714</v>
      </c>
      <c r="D242" s="16" t="s">
        <v>90</v>
      </c>
      <c r="E242" s="52">
        <v>20</v>
      </c>
      <c r="F242" s="48"/>
      <c r="G242" s="48"/>
    </row>
    <row r="243" spans="1:7" s="14" customFormat="1">
      <c r="A243" s="42"/>
      <c r="B243" s="42"/>
      <c r="C243" s="55" t="s">
        <v>452</v>
      </c>
      <c r="D243" s="16" t="s">
        <v>9</v>
      </c>
      <c r="E243" s="52">
        <v>11</v>
      </c>
      <c r="F243" s="48"/>
      <c r="G243" s="48"/>
    </row>
    <row r="244" spans="1:7" s="14" customFormat="1" ht="25.5">
      <c r="A244" s="42"/>
      <c r="B244" s="42"/>
      <c r="C244" s="15" t="s">
        <v>1174</v>
      </c>
      <c r="D244" s="16" t="s">
        <v>9</v>
      </c>
      <c r="E244" s="52">
        <v>11.7</v>
      </c>
      <c r="F244" s="48"/>
      <c r="G244" s="48"/>
    </row>
    <row r="245" spans="1:7" s="14" customFormat="1" ht="38.25">
      <c r="A245" s="42"/>
      <c r="B245" s="42"/>
      <c r="C245" s="15" t="s">
        <v>1175</v>
      </c>
      <c r="D245" s="85" t="s">
        <v>175</v>
      </c>
      <c r="E245" s="52">
        <f>62.65+21.46</f>
        <v>84.11</v>
      </c>
      <c r="F245" s="48"/>
      <c r="G245" s="48"/>
    </row>
    <row r="246" spans="1:7" s="14" customFormat="1" ht="63.75">
      <c r="A246" s="42"/>
      <c r="B246" s="42"/>
      <c r="C246" s="55" t="s">
        <v>1176</v>
      </c>
      <c r="D246" s="85" t="s">
        <v>175</v>
      </c>
      <c r="E246" s="52">
        <v>62.65</v>
      </c>
      <c r="F246" s="48"/>
      <c r="G246" s="48"/>
    </row>
    <row r="247" spans="1:7" s="14" customFormat="1" ht="63.75">
      <c r="A247" s="42"/>
      <c r="B247" s="42"/>
      <c r="C247" s="55" t="s">
        <v>1177</v>
      </c>
      <c r="D247" s="85" t="s">
        <v>175</v>
      </c>
      <c r="E247" s="52">
        <v>21.46</v>
      </c>
      <c r="F247" s="48"/>
      <c r="G247" s="48"/>
    </row>
    <row r="248" spans="1:7" s="14" customFormat="1" ht="15.75">
      <c r="A248" s="42"/>
      <c r="B248" s="42"/>
      <c r="C248" s="55" t="s">
        <v>719</v>
      </c>
      <c r="D248" s="85" t="s">
        <v>176</v>
      </c>
      <c r="E248" s="52">
        <v>1</v>
      </c>
      <c r="F248" s="48"/>
      <c r="G248" s="48"/>
    </row>
    <row r="249" spans="1:7" s="14" customFormat="1" ht="25.5">
      <c r="A249" s="144"/>
      <c r="B249" s="144"/>
      <c r="C249" s="73" t="s">
        <v>715</v>
      </c>
      <c r="D249" s="59" t="s">
        <v>9</v>
      </c>
      <c r="E249" s="262">
        <f>13.2+13.2+15.6+15.6+43.56+19.4</f>
        <v>120.56</v>
      </c>
      <c r="F249" s="48"/>
      <c r="G249" s="48"/>
    </row>
    <row r="250" spans="1:7" s="14" customFormat="1" ht="25.5">
      <c r="A250" s="76"/>
      <c r="B250" s="76" t="s">
        <v>931</v>
      </c>
      <c r="C250" s="72" t="s">
        <v>453</v>
      </c>
      <c r="D250" s="80"/>
      <c r="E250" s="81"/>
      <c r="F250" s="48"/>
      <c r="G250" s="48"/>
    </row>
    <row r="251" spans="1:7" s="14" customFormat="1" ht="25.5">
      <c r="A251" s="176"/>
      <c r="B251" s="176"/>
      <c r="C251" s="57" t="s">
        <v>728</v>
      </c>
      <c r="D251" s="53" t="s">
        <v>8</v>
      </c>
      <c r="E251" s="58">
        <v>4</v>
      </c>
      <c r="F251" s="48"/>
      <c r="G251" s="48"/>
    </row>
    <row r="252" spans="1:7" s="14" customFormat="1" ht="25.5">
      <c r="A252" s="42"/>
      <c r="B252" s="42"/>
      <c r="C252" s="55" t="s">
        <v>725</v>
      </c>
      <c r="D252" s="16" t="s">
        <v>8</v>
      </c>
      <c r="E252" s="52">
        <v>4</v>
      </c>
      <c r="F252" s="48"/>
      <c r="G252" s="48"/>
    </row>
    <row r="253" spans="1:7" s="14" customFormat="1">
      <c r="A253" s="42"/>
      <c r="B253" s="42"/>
      <c r="C253" s="266" t="s">
        <v>726</v>
      </c>
      <c r="D253" s="267" t="s">
        <v>720</v>
      </c>
      <c r="E253" s="52">
        <v>1</v>
      </c>
      <c r="F253" s="48"/>
      <c r="G253" s="48"/>
    </row>
    <row r="254" spans="1:7" s="14" customFormat="1">
      <c r="A254" s="42"/>
      <c r="B254" s="42"/>
      <c r="C254" s="266" t="s">
        <v>721</v>
      </c>
      <c r="D254" s="267" t="s">
        <v>722</v>
      </c>
      <c r="E254" s="52">
        <v>4</v>
      </c>
      <c r="F254" s="48"/>
      <c r="G254" s="48"/>
    </row>
    <row r="255" spans="1:7" s="14" customFormat="1">
      <c r="A255" s="42"/>
      <c r="B255" s="42"/>
      <c r="C255" s="266" t="s">
        <v>723</v>
      </c>
      <c r="D255" s="267" t="s">
        <v>722</v>
      </c>
      <c r="E255" s="52">
        <v>12</v>
      </c>
      <c r="F255" s="48"/>
      <c r="G255" s="48"/>
    </row>
    <row r="256" spans="1:7" s="14" customFormat="1" ht="25.5">
      <c r="A256" s="42"/>
      <c r="B256" s="42"/>
      <c r="C256" s="266" t="s">
        <v>724</v>
      </c>
      <c r="D256" s="267" t="s">
        <v>720</v>
      </c>
      <c r="E256" s="52">
        <v>1</v>
      </c>
      <c r="F256" s="48"/>
      <c r="G256" s="48"/>
    </row>
    <row r="257" spans="1:7" s="14" customFormat="1">
      <c r="A257" s="42"/>
      <c r="B257" s="42"/>
      <c r="C257" s="266" t="s">
        <v>1178</v>
      </c>
      <c r="D257" s="267" t="s">
        <v>90</v>
      </c>
      <c r="E257" s="52">
        <v>8</v>
      </c>
      <c r="F257" s="48"/>
      <c r="G257" s="48"/>
    </row>
    <row r="258" spans="1:7" s="14" customFormat="1" ht="63.75">
      <c r="A258" s="42"/>
      <c r="B258" s="42"/>
      <c r="C258" s="15" t="s">
        <v>1179</v>
      </c>
      <c r="D258" s="16" t="s">
        <v>8</v>
      </c>
      <c r="E258" s="52">
        <v>3</v>
      </c>
      <c r="F258" s="48"/>
      <c r="G258" s="48"/>
    </row>
    <row r="259" spans="1:7" s="14" customFormat="1">
      <c r="A259" s="42"/>
      <c r="B259" s="42"/>
      <c r="C259" s="55" t="s">
        <v>454</v>
      </c>
      <c r="D259" s="16" t="s">
        <v>90</v>
      </c>
      <c r="E259" s="52">
        <v>1</v>
      </c>
      <c r="F259" s="48"/>
      <c r="G259" s="48"/>
    </row>
    <row r="260" spans="1:7" s="14" customFormat="1" ht="25.5">
      <c r="A260" s="42"/>
      <c r="B260" s="42"/>
      <c r="C260" s="266" t="s">
        <v>927</v>
      </c>
      <c r="D260" s="267" t="s">
        <v>90</v>
      </c>
      <c r="E260" s="52">
        <v>1</v>
      </c>
      <c r="F260" s="48"/>
      <c r="G260" s="48"/>
    </row>
    <row r="261" spans="1:7" s="14" customFormat="1">
      <c r="A261" s="42"/>
      <c r="B261" s="42"/>
      <c r="C261" s="266" t="s">
        <v>928</v>
      </c>
      <c r="D261" s="267" t="s">
        <v>90</v>
      </c>
      <c r="E261" s="52">
        <v>1</v>
      </c>
      <c r="F261" s="48"/>
      <c r="G261" s="48"/>
    </row>
    <row r="262" spans="1:7" s="14" customFormat="1">
      <c r="A262" s="42"/>
      <c r="B262" s="42"/>
      <c r="C262" s="266" t="s">
        <v>1178</v>
      </c>
      <c r="D262" s="267" t="s">
        <v>90</v>
      </c>
      <c r="E262" s="52">
        <v>4</v>
      </c>
      <c r="F262" s="48"/>
      <c r="G262" s="48"/>
    </row>
    <row r="263" spans="1:7" s="14" customFormat="1" ht="25.5">
      <c r="A263" s="42"/>
      <c r="B263" s="42"/>
      <c r="C263" s="55" t="s">
        <v>930</v>
      </c>
      <c r="D263" s="16" t="s">
        <v>9</v>
      </c>
      <c r="E263" s="52">
        <f>10.8+10.4+14.4+10.8</f>
        <v>46.400000000000006</v>
      </c>
      <c r="F263" s="48"/>
      <c r="G263" s="48"/>
    </row>
    <row r="264" spans="1:7" s="14" customFormat="1" ht="255">
      <c r="A264" s="42"/>
      <c r="B264" s="42"/>
      <c r="C264" s="268" t="s">
        <v>1180</v>
      </c>
      <c r="D264" s="16" t="s">
        <v>90</v>
      </c>
      <c r="E264" s="52">
        <v>33</v>
      </c>
      <c r="F264" s="48"/>
      <c r="G264" s="48"/>
    </row>
    <row r="265" spans="1:7" s="14" customFormat="1">
      <c r="A265" s="60"/>
      <c r="B265" s="261"/>
      <c r="C265" s="178" t="s">
        <v>455</v>
      </c>
      <c r="D265" s="62" t="s">
        <v>90</v>
      </c>
      <c r="E265" s="63">
        <v>1</v>
      </c>
      <c r="F265" s="48"/>
      <c r="G265" s="48"/>
    </row>
    <row r="266" spans="1:7" s="14" customFormat="1" ht="25.5">
      <c r="A266" s="60"/>
      <c r="B266" s="261"/>
      <c r="C266" s="55" t="s">
        <v>929</v>
      </c>
      <c r="D266" s="16" t="s">
        <v>90</v>
      </c>
      <c r="E266" s="52">
        <v>1</v>
      </c>
      <c r="F266" s="48"/>
      <c r="G266" s="48"/>
    </row>
    <row r="267" spans="1:7" s="14" customFormat="1">
      <c r="A267" s="60"/>
      <c r="B267" s="261"/>
      <c r="C267" s="55" t="s">
        <v>456</v>
      </c>
      <c r="D267" s="16" t="s">
        <v>90</v>
      </c>
      <c r="E267" s="52">
        <v>1</v>
      </c>
      <c r="F267" s="48"/>
      <c r="G267" s="48"/>
    </row>
    <row r="268" spans="1:7" s="14" customFormat="1">
      <c r="A268" s="60"/>
      <c r="B268" s="261"/>
      <c r="C268" s="55" t="s">
        <v>457</v>
      </c>
      <c r="D268" s="16" t="s">
        <v>90</v>
      </c>
      <c r="E268" s="52">
        <v>1</v>
      </c>
      <c r="F268" s="48"/>
      <c r="G268" s="48"/>
    </row>
    <row r="269" spans="1:7" s="14" customFormat="1">
      <c r="A269" s="60"/>
      <c r="B269" s="261"/>
      <c r="C269" s="55" t="s">
        <v>458</v>
      </c>
      <c r="D269" s="16" t="s">
        <v>90</v>
      </c>
      <c r="E269" s="52">
        <v>1</v>
      </c>
      <c r="F269" s="48"/>
      <c r="G269" s="48"/>
    </row>
    <row r="270" spans="1:7" s="14" customFormat="1">
      <c r="A270" s="60"/>
      <c r="B270" s="261"/>
      <c r="C270" s="55" t="s">
        <v>461</v>
      </c>
      <c r="D270" s="16" t="s">
        <v>90</v>
      </c>
      <c r="E270" s="52">
        <v>1</v>
      </c>
      <c r="F270" s="48"/>
      <c r="G270" s="48"/>
    </row>
    <row r="271" spans="1:7" s="14" customFormat="1">
      <c r="A271" s="60"/>
      <c r="B271" s="261"/>
      <c r="C271" s="55" t="s">
        <v>460</v>
      </c>
      <c r="D271" s="16" t="s">
        <v>90</v>
      </c>
      <c r="E271" s="52">
        <v>1</v>
      </c>
      <c r="F271" s="48"/>
      <c r="G271" s="48"/>
    </row>
    <row r="272" spans="1:7" s="14" customFormat="1">
      <c r="A272" s="60"/>
      <c r="B272" s="261"/>
      <c r="C272" s="55" t="s">
        <v>459</v>
      </c>
      <c r="D272" s="16" t="s">
        <v>90</v>
      </c>
      <c r="E272" s="52">
        <v>1</v>
      </c>
      <c r="F272" s="48"/>
      <c r="G272" s="48"/>
    </row>
    <row r="273" spans="1:7" s="14" customFormat="1">
      <c r="A273" s="60"/>
      <c r="B273" s="261"/>
      <c r="C273" s="55" t="s">
        <v>462</v>
      </c>
      <c r="D273" s="16" t="s">
        <v>90</v>
      </c>
      <c r="E273" s="52">
        <v>1</v>
      </c>
      <c r="F273" s="48"/>
      <c r="G273" s="48"/>
    </row>
    <row r="274" spans="1:7" s="14" customFormat="1">
      <c r="A274" s="60"/>
      <c r="B274" s="261"/>
      <c r="C274" s="55" t="s">
        <v>729</v>
      </c>
      <c r="D274" s="16" t="s">
        <v>90</v>
      </c>
      <c r="E274" s="52">
        <v>1</v>
      </c>
      <c r="F274" s="48"/>
      <c r="G274" s="48"/>
    </row>
    <row r="275" spans="1:7" s="14" customFormat="1">
      <c r="A275" s="60"/>
      <c r="B275" s="261"/>
      <c r="C275" s="55" t="s">
        <v>464</v>
      </c>
      <c r="D275" s="16" t="s">
        <v>90</v>
      </c>
      <c r="E275" s="52">
        <v>2</v>
      </c>
      <c r="F275" s="48"/>
      <c r="G275" s="48"/>
    </row>
    <row r="276" spans="1:7" s="14" customFormat="1">
      <c r="A276" s="60"/>
      <c r="B276" s="261"/>
      <c r="C276" s="55" t="s">
        <v>463</v>
      </c>
      <c r="D276" s="16" t="s">
        <v>90</v>
      </c>
      <c r="E276" s="52">
        <v>2</v>
      </c>
      <c r="F276" s="48"/>
      <c r="G276" s="48"/>
    </row>
    <row r="277" spans="1:7" s="14" customFormat="1">
      <c r="A277" s="60"/>
      <c r="B277" s="261"/>
      <c r="C277" s="55" t="s">
        <v>730</v>
      </c>
      <c r="D277" s="16" t="s">
        <v>90</v>
      </c>
      <c r="E277" s="52">
        <v>2</v>
      </c>
      <c r="F277" s="48"/>
      <c r="G277" s="48"/>
    </row>
    <row r="278" spans="1:7" s="14" customFormat="1">
      <c r="A278" s="60"/>
      <c r="B278" s="261"/>
      <c r="C278" s="55" t="s">
        <v>465</v>
      </c>
      <c r="D278" s="16" t="s">
        <v>90</v>
      </c>
      <c r="E278" s="52">
        <v>2</v>
      </c>
      <c r="F278" s="48"/>
      <c r="G278" s="48"/>
    </row>
    <row r="279" spans="1:7" s="14" customFormat="1">
      <c r="A279" s="60"/>
      <c r="B279" s="261"/>
      <c r="C279" s="55" t="s">
        <v>466</v>
      </c>
      <c r="D279" s="16" t="s">
        <v>90</v>
      </c>
      <c r="E279" s="52">
        <v>2</v>
      </c>
      <c r="F279" s="48"/>
      <c r="G279" s="48"/>
    </row>
    <row r="280" spans="1:7" s="14" customFormat="1">
      <c r="A280" s="60"/>
      <c r="B280" s="261"/>
      <c r="C280" s="55" t="s">
        <v>467</v>
      </c>
      <c r="D280" s="16" t="s">
        <v>90</v>
      </c>
      <c r="E280" s="52">
        <v>1</v>
      </c>
      <c r="F280" s="48"/>
      <c r="G280" s="48"/>
    </row>
    <row r="281" spans="1:7" s="14" customFormat="1">
      <c r="A281" s="60"/>
      <c r="B281" s="261"/>
      <c r="C281" s="55" t="s">
        <v>731</v>
      </c>
      <c r="D281" s="16" t="s">
        <v>706</v>
      </c>
      <c r="E281" s="52">
        <v>1</v>
      </c>
      <c r="F281" s="48"/>
      <c r="G281" s="48"/>
    </row>
    <row r="282" spans="1:7" s="14" customFormat="1">
      <c r="A282" s="60"/>
      <c r="B282" s="261"/>
      <c r="C282" s="55" t="s">
        <v>732</v>
      </c>
      <c r="D282" s="16" t="s">
        <v>90</v>
      </c>
      <c r="E282" s="52">
        <v>1</v>
      </c>
      <c r="F282" s="48"/>
      <c r="G282" s="48"/>
    </row>
    <row r="283" spans="1:7" s="14" customFormat="1" ht="25.5">
      <c r="A283" s="60"/>
      <c r="B283" s="261"/>
      <c r="C283" s="55" t="s">
        <v>468</v>
      </c>
      <c r="D283" s="16" t="s">
        <v>90</v>
      </c>
      <c r="E283" s="52">
        <v>1</v>
      </c>
      <c r="F283" s="48"/>
      <c r="G283" s="48"/>
    </row>
    <row r="284" spans="1:7" s="14" customFormat="1" ht="25.5">
      <c r="A284" s="60"/>
      <c r="B284" s="261"/>
      <c r="C284" s="55" t="s">
        <v>469</v>
      </c>
      <c r="D284" s="16" t="s">
        <v>90</v>
      </c>
      <c r="E284" s="52">
        <v>3</v>
      </c>
      <c r="F284" s="48"/>
      <c r="G284" s="48"/>
    </row>
    <row r="285" spans="1:7" s="14" customFormat="1">
      <c r="A285" s="60"/>
      <c r="B285" s="261"/>
      <c r="C285" s="55" t="s">
        <v>470</v>
      </c>
      <c r="D285" s="16" t="s">
        <v>90</v>
      </c>
      <c r="E285" s="52">
        <v>1</v>
      </c>
      <c r="F285" s="48"/>
      <c r="G285" s="48"/>
    </row>
    <row r="286" spans="1:7" s="14" customFormat="1">
      <c r="A286" s="60"/>
      <c r="B286" s="261"/>
      <c r="C286" s="55" t="s">
        <v>471</v>
      </c>
      <c r="D286" s="16" t="s">
        <v>90</v>
      </c>
      <c r="E286" s="52">
        <v>1</v>
      </c>
      <c r="F286" s="48"/>
      <c r="G286" s="48"/>
    </row>
    <row r="287" spans="1:7" s="14" customFormat="1">
      <c r="A287" s="60"/>
      <c r="B287" s="261"/>
      <c r="C287" s="55" t="s">
        <v>472</v>
      </c>
      <c r="D287" s="16" t="s">
        <v>90</v>
      </c>
      <c r="E287" s="52">
        <v>1</v>
      </c>
      <c r="F287" s="48"/>
      <c r="G287" s="48"/>
    </row>
    <row r="288" spans="1:7" s="14" customFormat="1">
      <c r="A288" s="60"/>
      <c r="B288" s="261"/>
      <c r="C288" s="55" t="s">
        <v>473</v>
      </c>
      <c r="D288" s="16" t="s">
        <v>90</v>
      </c>
      <c r="E288" s="52">
        <v>2</v>
      </c>
      <c r="F288" s="48"/>
      <c r="G288" s="48"/>
    </row>
    <row r="289" spans="1:7" s="14" customFormat="1">
      <c r="A289" s="60"/>
      <c r="B289" s="261"/>
      <c r="C289" s="55" t="s">
        <v>474</v>
      </c>
      <c r="D289" s="16" t="s">
        <v>90</v>
      </c>
      <c r="E289" s="52">
        <v>1</v>
      </c>
      <c r="F289" s="48"/>
      <c r="G289" s="48"/>
    </row>
    <row r="290" spans="1:7" s="14" customFormat="1">
      <c r="A290" s="60"/>
      <c r="B290" s="261"/>
      <c r="C290" s="266" t="s">
        <v>1178</v>
      </c>
      <c r="D290" s="267" t="s">
        <v>90</v>
      </c>
      <c r="E290" s="52">
        <v>33</v>
      </c>
      <c r="F290" s="48"/>
      <c r="G290" s="48"/>
    </row>
    <row r="291" spans="1:7" s="14" customFormat="1" ht="25.5">
      <c r="A291" s="76"/>
      <c r="B291" s="76" t="s">
        <v>1088</v>
      </c>
      <c r="C291" s="72" t="s">
        <v>480</v>
      </c>
      <c r="D291" s="80"/>
      <c r="E291" s="81"/>
      <c r="F291" s="48"/>
      <c r="G291" s="48"/>
    </row>
    <row r="292" spans="1:7" s="14" customFormat="1" ht="15.75">
      <c r="A292" s="176"/>
      <c r="B292" s="176"/>
      <c r="C292" s="57" t="s">
        <v>961</v>
      </c>
      <c r="D292" s="83" t="s">
        <v>175</v>
      </c>
      <c r="E292" s="58">
        <v>121.2</v>
      </c>
      <c r="F292" s="48"/>
      <c r="G292" s="48"/>
    </row>
    <row r="293" spans="1:7" s="14" customFormat="1" ht="38.25">
      <c r="A293" s="42"/>
      <c r="B293" s="42"/>
      <c r="C293" s="55" t="s">
        <v>1181</v>
      </c>
      <c r="D293" s="16" t="s">
        <v>11</v>
      </c>
      <c r="E293" s="43">
        <f>E292*8.5</f>
        <v>1030.2</v>
      </c>
      <c r="F293" s="48"/>
      <c r="G293" s="48"/>
    </row>
    <row r="294" spans="1:7" s="14" customFormat="1" ht="25.5">
      <c r="A294" s="42"/>
      <c r="B294" s="42"/>
      <c r="C294" s="55" t="s">
        <v>970</v>
      </c>
      <c r="D294" s="85" t="s">
        <v>175</v>
      </c>
      <c r="E294" s="43">
        <f>E292*1.15</f>
        <v>139.38</v>
      </c>
      <c r="F294" s="48"/>
      <c r="G294" s="48"/>
    </row>
    <row r="295" spans="1:7" s="14" customFormat="1">
      <c r="A295" s="42"/>
      <c r="B295" s="42"/>
      <c r="C295" s="55" t="s">
        <v>944</v>
      </c>
      <c r="D295" s="85" t="s">
        <v>943</v>
      </c>
      <c r="E295" s="43">
        <f>E293*0.15</f>
        <v>154.53</v>
      </c>
      <c r="F295" s="48"/>
      <c r="G295" s="48"/>
    </row>
    <row r="296" spans="1:7" s="14" customFormat="1" ht="15.75">
      <c r="A296" s="42"/>
      <c r="B296" s="42"/>
      <c r="C296" s="55" t="s">
        <v>481</v>
      </c>
      <c r="D296" s="85" t="s">
        <v>175</v>
      </c>
      <c r="E296" s="43">
        <f>E292*1.1</f>
        <v>133.32000000000002</v>
      </c>
      <c r="F296" s="48"/>
      <c r="G296" s="48"/>
    </row>
    <row r="297" spans="1:7" s="14" customFormat="1" ht="15.75">
      <c r="A297" s="42"/>
      <c r="B297" s="42"/>
      <c r="C297" s="15" t="s">
        <v>1068</v>
      </c>
      <c r="D297" s="85" t="s">
        <v>175</v>
      </c>
      <c r="E297" s="52">
        <v>492</v>
      </c>
      <c r="F297" s="48"/>
      <c r="G297" s="48"/>
    </row>
    <row r="298" spans="1:7" s="14" customFormat="1" ht="38.25">
      <c r="A298" s="42"/>
      <c r="B298" s="42"/>
      <c r="C298" s="55" t="s">
        <v>1181</v>
      </c>
      <c r="D298" s="85" t="s">
        <v>11</v>
      </c>
      <c r="E298" s="52">
        <f>E297*2.8*1.1</f>
        <v>1515.3600000000001</v>
      </c>
      <c r="F298" s="48"/>
      <c r="G298" s="48"/>
    </row>
    <row r="299" spans="1:7" s="14" customFormat="1" ht="25.5">
      <c r="A299" s="42"/>
      <c r="B299" s="42"/>
      <c r="C299" s="55" t="s">
        <v>970</v>
      </c>
      <c r="D299" s="85" t="s">
        <v>175</v>
      </c>
      <c r="E299" s="43">
        <f>E297*1.15</f>
        <v>565.79999999999995</v>
      </c>
      <c r="F299" s="48"/>
      <c r="G299" s="48"/>
    </row>
    <row r="300" spans="1:7" s="14" customFormat="1">
      <c r="A300" s="42"/>
      <c r="B300" s="42"/>
      <c r="C300" s="55" t="s">
        <v>944</v>
      </c>
      <c r="D300" s="85" t="s">
        <v>943</v>
      </c>
      <c r="E300" s="43">
        <f>E298*0.15</f>
        <v>227.304</v>
      </c>
      <c r="F300" s="48"/>
      <c r="G300" s="48"/>
    </row>
    <row r="301" spans="1:7" s="14" customFormat="1" ht="25.5">
      <c r="A301" s="42"/>
      <c r="B301" s="42"/>
      <c r="C301" s="55" t="s">
        <v>1182</v>
      </c>
      <c r="D301" s="85" t="s">
        <v>175</v>
      </c>
      <c r="E301" s="43">
        <f>E297*1.1</f>
        <v>541.20000000000005</v>
      </c>
      <c r="F301" s="48"/>
      <c r="G301" s="48"/>
    </row>
    <row r="302" spans="1:7" s="14" customFormat="1" ht="15.75">
      <c r="A302" s="42"/>
      <c r="B302" s="42"/>
      <c r="C302" s="55" t="s">
        <v>1183</v>
      </c>
      <c r="D302" s="85" t="s">
        <v>175</v>
      </c>
      <c r="E302" s="43">
        <f>E297*1.1</f>
        <v>541.20000000000005</v>
      </c>
      <c r="F302" s="48"/>
      <c r="G302" s="48"/>
    </row>
    <row r="303" spans="1:7" s="14" customFormat="1" ht="15.75">
      <c r="A303" s="42"/>
      <c r="B303" s="42"/>
      <c r="C303" s="55" t="s">
        <v>971</v>
      </c>
      <c r="D303" s="85" t="s">
        <v>175</v>
      </c>
      <c r="E303" s="43">
        <f>E297*1.1</f>
        <v>541.20000000000005</v>
      </c>
      <c r="F303" s="48"/>
      <c r="G303" s="48"/>
    </row>
    <row r="304" spans="1:7" s="14" customFormat="1" ht="25.5">
      <c r="A304" s="42"/>
      <c r="B304" s="42"/>
      <c r="C304" s="55" t="s">
        <v>1157</v>
      </c>
      <c r="D304" s="85" t="s">
        <v>175</v>
      </c>
      <c r="E304" s="52">
        <f>E297*1.1</f>
        <v>541.20000000000005</v>
      </c>
      <c r="F304" s="48"/>
      <c r="G304" s="48"/>
    </row>
    <row r="305" spans="1:7" s="14" customFormat="1" ht="15.75">
      <c r="A305" s="42"/>
      <c r="B305" s="42"/>
      <c r="C305" s="55" t="s">
        <v>426</v>
      </c>
      <c r="D305" s="85" t="s">
        <v>175</v>
      </c>
      <c r="E305" s="43">
        <f>E297*1.1</f>
        <v>541.20000000000005</v>
      </c>
      <c r="F305" s="48"/>
      <c r="G305" s="48"/>
    </row>
    <row r="306" spans="1:7" s="14" customFormat="1" ht="15.75">
      <c r="A306" s="42"/>
      <c r="B306" s="42"/>
      <c r="C306" s="55" t="s">
        <v>424</v>
      </c>
      <c r="D306" s="85" t="s">
        <v>175</v>
      </c>
      <c r="E306" s="43">
        <f>E297*1.1</f>
        <v>541.20000000000005</v>
      </c>
      <c r="F306" s="48"/>
      <c r="G306" s="48"/>
    </row>
    <row r="307" spans="1:7" s="14" customFormat="1" ht="25.5">
      <c r="A307" s="76"/>
      <c r="B307" s="76" t="s">
        <v>1089</v>
      </c>
      <c r="C307" s="72" t="s">
        <v>713</v>
      </c>
      <c r="D307" s="80"/>
      <c r="E307" s="81"/>
      <c r="F307" s="48"/>
      <c r="G307" s="48"/>
    </row>
    <row r="308" spans="1:7" s="14" customFormat="1" ht="15.75">
      <c r="A308" s="60"/>
      <c r="B308" s="60"/>
      <c r="C308" s="15" t="s">
        <v>935</v>
      </c>
      <c r="D308" s="85" t="s">
        <v>175</v>
      </c>
      <c r="E308" s="43">
        <v>211.3</v>
      </c>
      <c r="F308" s="48"/>
      <c r="G308" s="48"/>
    </row>
    <row r="309" spans="1:7" s="14" customFormat="1" ht="15.75">
      <c r="A309" s="60"/>
      <c r="B309" s="60"/>
      <c r="C309" s="55" t="s">
        <v>443</v>
      </c>
      <c r="D309" s="85" t="s">
        <v>175</v>
      </c>
      <c r="E309" s="43">
        <f>E308*1.1</f>
        <v>232.43000000000004</v>
      </c>
      <c r="F309" s="48"/>
      <c r="G309" s="48"/>
    </row>
    <row r="310" spans="1:7" s="14" customFormat="1" ht="15.75">
      <c r="A310" s="60"/>
      <c r="B310" s="60"/>
      <c r="C310" s="55" t="s">
        <v>444</v>
      </c>
      <c r="D310" s="85" t="s">
        <v>175</v>
      </c>
      <c r="E310" s="43">
        <f>E308</f>
        <v>211.3</v>
      </c>
      <c r="F310" s="48"/>
      <c r="G310" s="48"/>
    </row>
    <row r="311" spans="1:7" s="14" customFormat="1" ht="25.5">
      <c r="A311" s="60"/>
      <c r="B311" s="60"/>
      <c r="C311" s="55" t="s">
        <v>1184</v>
      </c>
      <c r="D311" s="85" t="s">
        <v>175</v>
      </c>
      <c r="E311" s="43">
        <f>E308*1.1</f>
        <v>232.43000000000004</v>
      </c>
      <c r="F311" s="48"/>
      <c r="G311" s="48"/>
    </row>
    <row r="312" spans="1:7" s="14" customFormat="1" ht="25.5">
      <c r="A312" s="60"/>
      <c r="B312" s="60"/>
      <c r="C312" s="55" t="s">
        <v>1185</v>
      </c>
      <c r="D312" s="85" t="s">
        <v>175</v>
      </c>
      <c r="E312" s="43">
        <f>E308</f>
        <v>211.3</v>
      </c>
      <c r="F312" s="48"/>
      <c r="G312" s="48"/>
    </row>
    <row r="313" spans="1:7" s="14" customFormat="1" ht="15.75">
      <c r="A313" s="60"/>
      <c r="B313" s="60"/>
      <c r="C313" s="55" t="s">
        <v>445</v>
      </c>
      <c r="D313" s="85" t="s">
        <v>175</v>
      </c>
      <c r="E313" s="43">
        <f>E308*1.1</f>
        <v>232.43000000000004</v>
      </c>
      <c r="F313" s="48"/>
      <c r="G313" s="48"/>
    </row>
    <row r="314" spans="1:7" s="14" customFormat="1" ht="25.5">
      <c r="A314" s="60"/>
      <c r="B314" s="60"/>
      <c r="C314" s="55" t="s">
        <v>1186</v>
      </c>
      <c r="D314" s="85" t="s">
        <v>175</v>
      </c>
      <c r="E314" s="43">
        <f>E308*1.1</f>
        <v>232.43000000000004</v>
      </c>
      <c r="F314" s="48"/>
      <c r="G314" s="48"/>
    </row>
    <row r="315" spans="1:7" s="14" customFormat="1" ht="15.75">
      <c r="A315" s="60"/>
      <c r="B315" s="60"/>
      <c r="C315" s="55" t="s">
        <v>446</v>
      </c>
      <c r="D315" s="85" t="s">
        <v>175</v>
      </c>
      <c r="E315" s="43">
        <f>E308*1.1</f>
        <v>232.43000000000004</v>
      </c>
      <c r="F315" s="48"/>
      <c r="G315" s="48"/>
    </row>
    <row r="316" spans="1:7" s="14" customFormat="1" ht="15.75">
      <c r="A316" s="60"/>
      <c r="B316" s="60"/>
      <c r="C316" s="15" t="s">
        <v>934</v>
      </c>
      <c r="D316" s="85" t="s">
        <v>175</v>
      </c>
      <c r="E316" s="43">
        <v>30</v>
      </c>
      <c r="F316" s="48"/>
      <c r="G316" s="48"/>
    </row>
    <row r="317" spans="1:7" s="14" customFormat="1" ht="25.5">
      <c r="A317" s="60"/>
      <c r="B317" s="60"/>
      <c r="C317" s="55" t="s">
        <v>1184</v>
      </c>
      <c r="D317" s="85" t="s">
        <v>175</v>
      </c>
      <c r="E317" s="43">
        <f>E316*1.1</f>
        <v>33</v>
      </c>
      <c r="F317" s="48"/>
      <c r="G317" s="48"/>
    </row>
    <row r="318" spans="1:7" s="14" customFormat="1" ht="25.5">
      <c r="A318" s="60"/>
      <c r="B318" s="60"/>
      <c r="C318" s="55" t="s">
        <v>1185</v>
      </c>
      <c r="D318" s="85" t="s">
        <v>175</v>
      </c>
      <c r="E318" s="43">
        <f>E316*1.1</f>
        <v>33</v>
      </c>
      <c r="F318" s="48"/>
      <c r="G318" s="48"/>
    </row>
    <row r="319" spans="1:7" s="14" customFormat="1" ht="15.75">
      <c r="A319" s="60"/>
      <c r="B319" s="60"/>
      <c r="C319" s="55" t="s">
        <v>445</v>
      </c>
      <c r="D319" s="85" t="s">
        <v>175</v>
      </c>
      <c r="E319" s="43">
        <f>E316*1.1</f>
        <v>33</v>
      </c>
      <c r="F319" s="48"/>
      <c r="G319" s="48"/>
    </row>
    <row r="320" spans="1:7" s="14" customFormat="1" ht="25.5">
      <c r="A320" s="60"/>
      <c r="B320" s="60"/>
      <c r="C320" s="55" t="s">
        <v>1186</v>
      </c>
      <c r="D320" s="85" t="s">
        <v>175</v>
      </c>
      <c r="E320" s="43">
        <f>E316*1.1</f>
        <v>33</v>
      </c>
      <c r="F320" s="48"/>
      <c r="G320" s="48"/>
    </row>
    <row r="321" spans="1:7" s="14" customFormat="1" ht="15.75">
      <c r="A321" s="60"/>
      <c r="B321" s="60"/>
      <c r="C321" s="55" t="s">
        <v>446</v>
      </c>
      <c r="D321" s="85" t="s">
        <v>175</v>
      </c>
      <c r="E321" s="43">
        <f>E316*1.1</f>
        <v>33</v>
      </c>
      <c r="F321" s="48"/>
      <c r="G321" s="48"/>
    </row>
    <row r="322" spans="1:7" s="14" customFormat="1" ht="15.75">
      <c r="A322" s="60"/>
      <c r="B322" s="60"/>
      <c r="C322" s="15" t="s">
        <v>933</v>
      </c>
      <c r="D322" s="85" t="s">
        <v>175</v>
      </c>
      <c r="E322" s="43">
        <v>20</v>
      </c>
      <c r="F322" s="48"/>
      <c r="G322" s="48"/>
    </row>
    <row r="323" spans="1:7" s="14" customFormat="1" ht="25.5">
      <c r="A323" s="60"/>
      <c r="B323" s="60"/>
      <c r="C323" s="55" t="s">
        <v>1187</v>
      </c>
      <c r="D323" s="85" t="s">
        <v>175</v>
      </c>
      <c r="E323" s="43">
        <f>E322*1.1</f>
        <v>22</v>
      </c>
      <c r="F323" s="48"/>
      <c r="G323" s="48"/>
    </row>
    <row r="324" spans="1:7" s="14" customFormat="1" ht="15.75">
      <c r="A324" s="60"/>
      <c r="B324" s="60"/>
      <c r="C324" s="55" t="s">
        <v>1188</v>
      </c>
      <c r="D324" s="85" t="s">
        <v>175</v>
      </c>
      <c r="E324" s="43">
        <f>E322*1.1</f>
        <v>22</v>
      </c>
      <c r="F324" s="48"/>
      <c r="G324" s="48"/>
    </row>
    <row r="325" spans="1:7" s="14" customFormat="1" ht="15.75">
      <c r="A325" s="60"/>
      <c r="B325" s="60"/>
      <c r="C325" s="55" t="s">
        <v>941</v>
      </c>
      <c r="D325" s="85" t="s">
        <v>175</v>
      </c>
      <c r="E325" s="43">
        <f>E322*1.1</f>
        <v>22</v>
      </c>
      <c r="F325" s="48"/>
      <c r="G325" s="48"/>
    </row>
    <row r="326" spans="1:7" s="14" customFormat="1" ht="38.25">
      <c r="A326" s="42"/>
      <c r="B326" s="42"/>
      <c r="C326" s="15" t="s">
        <v>1070</v>
      </c>
      <c r="D326" s="16" t="s">
        <v>9</v>
      </c>
      <c r="E326" s="52">
        <v>53</v>
      </c>
      <c r="F326" s="48"/>
      <c r="G326" s="48"/>
    </row>
    <row r="327" spans="1:7" s="14" customFormat="1" ht="38.25">
      <c r="A327" s="42"/>
      <c r="B327" s="42"/>
      <c r="C327" s="15" t="s">
        <v>1071</v>
      </c>
      <c r="D327" s="16" t="s">
        <v>9</v>
      </c>
      <c r="E327" s="52">
        <v>24</v>
      </c>
      <c r="F327" s="48"/>
      <c r="G327" s="48"/>
    </row>
    <row r="328" spans="1:7" s="14" customFormat="1">
      <c r="A328" s="76"/>
      <c r="B328" s="76"/>
      <c r="C328" s="72" t="s">
        <v>702</v>
      </c>
      <c r="D328" s="80"/>
      <c r="E328" s="81"/>
      <c r="F328" s="48"/>
      <c r="G328" s="48"/>
    </row>
    <row r="329" spans="1:7" s="14" customFormat="1" ht="63.75">
      <c r="A329" s="176"/>
      <c r="B329" s="176"/>
      <c r="C329" s="57" t="s">
        <v>1075</v>
      </c>
      <c r="D329" s="85" t="s">
        <v>175</v>
      </c>
      <c r="E329" s="58">
        <v>116.5</v>
      </c>
      <c r="F329" s="48"/>
      <c r="G329" s="48"/>
    </row>
    <row r="330" spans="1:7" s="14" customFormat="1">
      <c r="A330" s="42"/>
      <c r="B330" s="42"/>
      <c r="C330" s="15" t="s">
        <v>718</v>
      </c>
      <c r="D330" s="16" t="s">
        <v>9</v>
      </c>
      <c r="E330" s="52">
        <f>E331+E332</f>
        <v>85.067999999999998</v>
      </c>
      <c r="F330" s="48"/>
      <c r="G330" s="48"/>
    </row>
    <row r="331" spans="1:7" s="14" customFormat="1">
      <c r="A331" s="42"/>
      <c r="B331" s="42"/>
      <c r="C331" s="55" t="s">
        <v>475</v>
      </c>
      <c r="D331" s="16" t="s">
        <v>9</v>
      </c>
      <c r="E331" s="52">
        <v>31.3</v>
      </c>
      <c r="F331" s="48"/>
      <c r="G331" s="48"/>
    </row>
    <row r="332" spans="1:7" s="14" customFormat="1">
      <c r="A332" s="42"/>
      <c r="B332" s="42"/>
      <c r="C332" s="55" t="s">
        <v>476</v>
      </c>
      <c r="D332" s="16" t="s">
        <v>9</v>
      </c>
      <c r="E332" s="52">
        <f>16.073+11.709+21.614+4.372</f>
        <v>53.768000000000001</v>
      </c>
      <c r="F332" s="48"/>
      <c r="G332" s="48"/>
    </row>
    <row r="333" spans="1:7" s="14" customFormat="1">
      <c r="A333" s="42"/>
      <c r="B333" s="42"/>
      <c r="C333" s="55" t="s">
        <v>703</v>
      </c>
      <c r="D333" s="16" t="s">
        <v>9</v>
      </c>
      <c r="E333" s="52">
        <v>26</v>
      </c>
      <c r="F333" s="48"/>
      <c r="G333" s="48"/>
    </row>
    <row r="334" spans="1:7" s="14" customFormat="1" ht="25.5">
      <c r="A334" s="42"/>
      <c r="B334" s="42"/>
      <c r="C334" s="55" t="s">
        <v>477</v>
      </c>
      <c r="D334" s="16" t="s">
        <v>8</v>
      </c>
      <c r="E334" s="52">
        <v>1</v>
      </c>
      <c r="F334" s="48"/>
      <c r="G334" s="48"/>
    </row>
    <row r="335" spans="1:7" s="14" customFormat="1" ht="25.5">
      <c r="A335" s="42"/>
      <c r="B335" s="42"/>
      <c r="C335" s="15" t="s">
        <v>717</v>
      </c>
      <c r="D335" s="16" t="s">
        <v>9</v>
      </c>
      <c r="E335" s="52">
        <f>E336+E337</f>
        <v>12.812999999999999</v>
      </c>
      <c r="F335" s="48"/>
      <c r="G335" s="48"/>
    </row>
    <row r="336" spans="1:7" s="14" customFormat="1">
      <c r="A336" s="42"/>
      <c r="B336" s="42"/>
      <c r="C336" s="55" t="s">
        <v>478</v>
      </c>
      <c r="D336" s="16" t="s">
        <v>9</v>
      </c>
      <c r="E336" s="52">
        <f>3.788+2.9+3.925</f>
        <v>10.613</v>
      </c>
      <c r="F336" s="48"/>
      <c r="G336" s="48"/>
    </row>
    <row r="337" spans="1:7" s="14" customFormat="1">
      <c r="A337" s="42"/>
      <c r="B337" s="42"/>
      <c r="C337" s="55" t="s">
        <v>479</v>
      </c>
      <c r="D337" s="16" t="s">
        <v>9</v>
      </c>
      <c r="E337" s="52">
        <v>2.2000000000000002</v>
      </c>
      <c r="F337" s="48"/>
      <c r="G337" s="48"/>
    </row>
    <row r="338" spans="1:7" s="14" customFormat="1" ht="25.5">
      <c r="A338" s="42"/>
      <c r="B338" s="42"/>
      <c r="C338" s="55" t="s">
        <v>477</v>
      </c>
      <c r="D338" s="16" t="s">
        <v>8</v>
      </c>
      <c r="E338" s="52">
        <v>1</v>
      </c>
      <c r="F338" s="48"/>
      <c r="G338" s="48"/>
    </row>
    <row r="339" spans="1:7" s="14" customFormat="1">
      <c r="A339" s="42"/>
      <c r="B339" s="42"/>
      <c r="C339" s="15" t="s">
        <v>932</v>
      </c>
      <c r="D339" s="16" t="s">
        <v>8</v>
      </c>
      <c r="E339" s="52">
        <v>1</v>
      </c>
      <c r="F339" s="48"/>
      <c r="G339" s="48"/>
    </row>
    <row r="340" spans="1:7" s="14" customFormat="1" ht="25.5">
      <c r="A340" s="144"/>
      <c r="B340" s="144"/>
      <c r="C340" s="73" t="s">
        <v>477</v>
      </c>
      <c r="D340" s="59" t="s">
        <v>8</v>
      </c>
      <c r="E340" s="47">
        <v>1</v>
      </c>
      <c r="F340" s="48"/>
      <c r="G340" s="48"/>
    </row>
    <row r="341" spans="1:7" s="45" customFormat="1">
      <c r="A341" s="283"/>
      <c r="B341" s="283"/>
      <c r="C341" s="37" t="s">
        <v>0</v>
      </c>
      <c r="D341" s="38"/>
      <c r="E341" s="39"/>
      <c r="F341" s="44"/>
    </row>
    <row r="342" spans="1:7" s="21" customFormat="1">
      <c r="A342" s="19"/>
      <c r="B342" s="19"/>
      <c r="C342" s="20"/>
    </row>
    <row r="343" spans="1:7" s="21" customFormat="1">
      <c r="A343" s="22"/>
      <c r="B343" s="6"/>
      <c r="C343" s="20"/>
      <c r="D343" s="20"/>
      <c r="E343" s="20"/>
    </row>
    <row r="344" spans="1:7" s="21" customFormat="1" ht="12.75" customHeight="1">
      <c r="A344" s="331" t="s">
        <v>14</v>
      </c>
      <c r="B344" s="331"/>
      <c r="C344" s="275" t="s">
        <v>1082</v>
      </c>
      <c r="D344" s="284"/>
      <c r="E344" s="274"/>
    </row>
    <row r="345" spans="1:7" s="21" customFormat="1">
      <c r="A345" s="25"/>
      <c r="B345" s="6"/>
      <c r="C345" s="74" t="s">
        <v>15</v>
      </c>
      <c r="D345" s="24"/>
      <c r="E345" s="25"/>
    </row>
    <row r="346" spans="1:7">
      <c r="B346" s="6"/>
      <c r="C346" s="238" t="s">
        <v>21</v>
      </c>
      <c r="D346" s="24"/>
      <c r="F346" s="25"/>
    </row>
    <row r="347" spans="1:7" s="23" customFormat="1">
      <c r="A347" s="25"/>
      <c r="B347" s="6"/>
      <c r="C347" s="6" t="s">
        <v>1086</v>
      </c>
      <c r="E347" s="25"/>
    </row>
    <row r="348" spans="1:7">
      <c r="A348" s="23"/>
      <c r="B348" s="6"/>
      <c r="C348" s="6"/>
      <c r="D348" s="23"/>
      <c r="F348" s="25"/>
    </row>
    <row r="349" spans="1:7" s="3" customFormat="1">
      <c r="A349" s="50"/>
      <c r="B349" s="50"/>
      <c r="C349" s="25"/>
      <c r="D349" s="46"/>
      <c r="E349" s="49"/>
      <c r="F349" s="2"/>
    </row>
  </sheetData>
  <mergeCells count="8">
    <mergeCell ref="A344:B344"/>
    <mergeCell ref="A1:E1"/>
    <mergeCell ref="A2:E2"/>
    <mergeCell ref="A11:A12"/>
    <mergeCell ref="B11:B12"/>
    <mergeCell ref="C11:C12"/>
    <mergeCell ref="D11:D12"/>
    <mergeCell ref="E11:E12"/>
  </mergeCells>
  <conditionalFormatting sqref="D182:D183 D188:D189">
    <cfRule type="cellIs" dxfId="0" priority="2" stopIfTrue="1" operator="equal">
      <formula>0</formula>
    </cfRule>
  </conditionalFormatting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1"/>
  <sheetViews>
    <sheetView view="pageBreakPreview" topLeftCell="A19" zoomScaleNormal="120" zoomScaleSheetLayoutView="100" workbookViewId="0">
      <selection sqref="A1:E1"/>
    </sheetView>
  </sheetViews>
  <sheetFormatPr defaultColWidth="5.5703125" defaultRowHeight="12.75"/>
  <cols>
    <col min="1" max="2" width="6.42578125" style="25" customWidth="1"/>
    <col min="3" max="3" width="40.28515625" style="25" customWidth="1"/>
    <col min="4" max="4" width="6.42578125" style="25" customWidth="1"/>
    <col min="5" max="5" width="8.42578125" style="25" customWidth="1"/>
    <col min="6" max="6" width="5.7109375" style="23" hidden="1" customWidth="1"/>
    <col min="7" max="7" width="5.5703125" style="23"/>
    <col min="8" max="8" width="6.7109375" style="25" customWidth="1"/>
    <col min="9" max="16384" width="5.5703125" style="25"/>
  </cols>
  <sheetData>
    <row r="1" spans="1:8" s="3" customFormat="1">
      <c r="A1" s="332" t="s">
        <v>1099</v>
      </c>
      <c r="B1" s="332"/>
      <c r="C1" s="332"/>
      <c r="D1" s="332"/>
      <c r="E1" s="332"/>
      <c r="F1" s="1"/>
      <c r="G1" s="2"/>
    </row>
    <row r="2" spans="1:8" s="3" customFormat="1">
      <c r="A2" s="333" t="s">
        <v>26</v>
      </c>
      <c r="B2" s="333"/>
      <c r="C2" s="333"/>
      <c r="D2" s="333"/>
      <c r="E2" s="333"/>
      <c r="F2" s="2"/>
      <c r="G2" s="2"/>
    </row>
    <row r="3" spans="1:8" s="3" customFormat="1">
      <c r="A3" s="276"/>
      <c r="B3" s="276"/>
      <c r="C3" s="276"/>
      <c r="D3" s="276"/>
      <c r="E3" s="276"/>
      <c r="F3" s="2"/>
      <c r="G3" s="2"/>
    </row>
    <row r="4" spans="1:8" s="3" customFormat="1">
      <c r="A4" s="4" t="s">
        <v>19</v>
      </c>
      <c r="B4" s="4"/>
      <c r="C4" s="2"/>
      <c r="D4" s="5"/>
      <c r="E4" s="5"/>
      <c r="F4" s="2"/>
      <c r="G4" s="2"/>
    </row>
    <row r="5" spans="1:8" s="3" customFormat="1">
      <c r="A5" s="4" t="s">
        <v>13</v>
      </c>
      <c r="B5" s="4"/>
      <c r="C5" s="2"/>
      <c r="D5" s="5"/>
      <c r="E5" s="5"/>
      <c r="F5" s="2"/>
      <c r="G5" s="2"/>
    </row>
    <row r="6" spans="1:8" s="3" customFormat="1">
      <c r="A6" s="4" t="s">
        <v>18</v>
      </c>
      <c r="B6" s="4"/>
      <c r="C6" s="2"/>
      <c r="D6" s="5"/>
      <c r="E6" s="5"/>
      <c r="F6" s="2"/>
      <c r="G6" s="2"/>
    </row>
    <row r="7" spans="1:8" s="3" customFormat="1">
      <c r="A7" s="4" t="s">
        <v>1083</v>
      </c>
      <c r="B7" s="4"/>
      <c r="C7" s="2"/>
      <c r="D7" s="5"/>
      <c r="E7" s="5"/>
      <c r="F7" s="2"/>
      <c r="G7" s="2"/>
    </row>
    <row r="8" spans="1:8" s="3" customFormat="1">
      <c r="A8" s="3" t="s">
        <v>12</v>
      </c>
      <c r="B8" s="4"/>
      <c r="C8" s="2"/>
      <c r="D8" s="5"/>
      <c r="E8" s="5"/>
      <c r="F8" s="2"/>
      <c r="G8" s="2"/>
    </row>
    <row r="9" spans="1:8" s="3" customFormat="1">
      <c r="A9" s="3" t="s">
        <v>17</v>
      </c>
      <c r="C9" s="6"/>
      <c r="D9" s="5"/>
      <c r="F9" s="2"/>
      <c r="G9" s="2"/>
    </row>
    <row r="10" spans="1:8" s="3" customFormat="1">
      <c r="C10" s="6"/>
      <c r="D10" s="5"/>
      <c r="F10" s="2"/>
      <c r="G10" s="2"/>
    </row>
    <row r="11" spans="1:8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4" t="s">
        <v>2</v>
      </c>
      <c r="F11" s="2"/>
      <c r="G11" s="2"/>
    </row>
    <row r="12" spans="1:8" s="3" customFormat="1" ht="55.5" customHeight="1">
      <c r="A12" s="335"/>
      <c r="B12" s="335"/>
      <c r="C12" s="335"/>
      <c r="D12" s="335"/>
      <c r="E12" s="335"/>
      <c r="F12" s="2"/>
      <c r="G12" s="2"/>
    </row>
    <row r="13" spans="1:8" s="140" customFormat="1" ht="25.5">
      <c r="A13" s="76"/>
      <c r="B13" s="76" t="s">
        <v>378</v>
      </c>
      <c r="C13" s="170" t="s">
        <v>203</v>
      </c>
      <c r="D13" s="139"/>
      <c r="E13" s="139"/>
      <c r="F13" s="48"/>
      <c r="G13" s="48"/>
    </row>
    <row r="14" spans="1:8" s="14" customFormat="1">
      <c r="A14" s="7">
        <f>A13+1</f>
        <v>1</v>
      </c>
      <c r="B14" s="7" t="s">
        <v>84</v>
      </c>
      <c r="C14" s="112" t="s">
        <v>204</v>
      </c>
      <c r="D14" s="62" t="s">
        <v>9</v>
      </c>
      <c r="E14" s="128">
        <v>90</v>
      </c>
      <c r="F14" s="48"/>
      <c r="G14" s="48"/>
      <c r="H14" s="48"/>
    </row>
    <row r="15" spans="1:8" s="14" customFormat="1">
      <c r="A15" s="31">
        <f t="shared" ref="A15:A34" si="0">A14+1</f>
        <v>2</v>
      </c>
      <c r="B15" s="31" t="s">
        <v>84</v>
      </c>
      <c r="C15" s="111" t="s">
        <v>205</v>
      </c>
      <c r="D15" s="16" t="s">
        <v>9</v>
      </c>
      <c r="E15" s="128">
        <v>100</v>
      </c>
      <c r="F15" s="48"/>
      <c r="G15" s="48"/>
      <c r="H15" s="48"/>
    </row>
    <row r="16" spans="1:8" s="14" customFormat="1">
      <c r="A16" s="31">
        <f t="shared" si="0"/>
        <v>3</v>
      </c>
      <c r="B16" s="31" t="s">
        <v>84</v>
      </c>
      <c r="C16" s="111" t="s">
        <v>206</v>
      </c>
      <c r="D16" s="16" t="s">
        <v>9</v>
      </c>
      <c r="E16" s="128">
        <v>75</v>
      </c>
      <c r="F16" s="48"/>
      <c r="G16" s="48"/>
      <c r="H16" s="48"/>
    </row>
    <row r="17" spans="1:8" s="14" customFormat="1">
      <c r="A17" s="31">
        <f t="shared" si="0"/>
        <v>4</v>
      </c>
      <c r="B17" s="31" t="s">
        <v>84</v>
      </c>
      <c r="C17" s="111" t="s">
        <v>207</v>
      </c>
      <c r="D17" s="16" t="s">
        <v>9</v>
      </c>
      <c r="E17" s="128">
        <v>5</v>
      </c>
      <c r="F17" s="48"/>
      <c r="G17" s="48"/>
      <c r="H17" s="48"/>
    </row>
    <row r="18" spans="1:8" s="14" customFormat="1">
      <c r="A18" s="31">
        <f t="shared" si="0"/>
        <v>5</v>
      </c>
      <c r="B18" s="31" t="s">
        <v>84</v>
      </c>
      <c r="C18" s="111" t="s">
        <v>208</v>
      </c>
      <c r="D18" s="16" t="s">
        <v>9</v>
      </c>
      <c r="E18" s="128">
        <v>40</v>
      </c>
      <c r="F18" s="48"/>
      <c r="G18" s="48"/>
      <c r="H18" s="48"/>
    </row>
    <row r="19" spans="1:8" s="14" customFormat="1">
      <c r="A19" s="31">
        <f t="shared" si="0"/>
        <v>6</v>
      </c>
      <c r="B19" s="31" t="s">
        <v>84</v>
      </c>
      <c r="C19" s="111" t="s">
        <v>209</v>
      </c>
      <c r="D19" s="16" t="s">
        <v>9</v>
      </c>
      <c r="E19" s="128">
        <v>3</v>
      </c>
      <c r="F19" s="48"/>
      <c r="G19" s="48"/>
      <c r="H19" s="48"/>
    </row>
    <row r="20" spans="1:8" s="14" customFormat="1">
      <c r="A20" s="51">
        <f t="shared" si="0"/>
        <v>7</v>
      </c>
      <c r="B20" s="51" t="s">
        <v>84</v>
      </c>
      <c r="C20" s="113" t="s">
        <v>210</v>
      </c>
      <c r="D20" s="94" t="s">
        <v>8</v>
      </c>
      <c r="E20" s="128">
        <v>1</v>
      </c>
      <c r="F20" s="48"/>
      <c r="G20" s="48"/>
      <c r="H20" s="48"/>
    </row>
    <row r="21" spans="1:8" s="14" customFormat="1" ht="25.5">
      <c r="A21" s="76"/>
      <c r="B21" s="76" t="s">
        <v>378</v>
      </c>
      <c r="C21" s="170" t="s">
        <v>211</v>
      </c>
      <c r="D21" s="80"/>
      <c r="E21" s="129"/>
      <c r="F21" s="48"/>
      <c r="G21" s="48"/>
      <c r="H21" s="48"/>
    </row>
    <row r="22" spans="1:8" s="14" customFormat="1" ht="51">
      <c r="A22" s="30">
        <f>A20+1</f>
        <v>8</v>
      </c>
      <c r="B22" s="30" t="s">
        <v>84</v>
      </c>
      <c r="C22" s="54" t="s">
        <v>413</v>
      </c>
      <c r="D22" s="16" t="s">
        <v>90</v>
      </c>
      <c r="E22" s="128">
        <v>7</v>
      </c>
      <c r="F22" s="48"/>
      <c r="G22" s="48"/>
      <c r="H22" s="48"/>
    </row>
    <row r="23" spans="1:8" s="14" customFormat="1">
      <c r="A23" s="33">
        <f>A22+1</f>
        <v>9</v>
      </c>
      <c r="B23" s="33" t="s">
        <v>84</v>
      </c>
      <c r="C23" s="15" t="s">
        <v>223</v>
      </c>
      <c r="D23" s="16" t="s">
        <v>90</v>
      </c>
      <c r="E23" s="128">
        <v>7</v>
      </c>
      <c r="F23" s="48"/>
      <c r="G23" s="48"/>
      <c r="H23" s="48"/>
    </row>
    <row r="24" spans="1:8" s="14" customFormat="1" ht="25.5">
      <c r="A24" s="76"/>
      <c r="B24" s="76" t="s">
        <v>378</v>
      </c>
      <c r="C24" s="170" t="s">
        <v>212</v>
      </c>
      <c r="D24" s="80"/>
      <c r="E24" s="129"/>
      <c r="F24" s="48"/>
      <c r="G24" s="48"/>
      <c r="H24" s="48"/>
    </row>
    <row r="25" spans="1:8" s="14" customFormat="1">
      <c r="A25" s="7">
        <f>A23+1</f>
        <v>10</v>
      </c>
      <c r="B25" s="7" t="s">
        <v>84</v>
      </c>
      <c r="C25" s="114" t="s">
        <v>213</v>
      </c>
      <c r="D25" s="62" t="s">
        <v>9</v>
      </c>
      <c r="E25" s="128">
        <v>20</v>
      </c>
      <c r="F25" s="48"/>
      <c r="G25" s="48"/>
      <c r="H25" s="48"/>
    </row>
    <row r="26" spans="1:8" s="14" customFormat="1" ht="25.5">
      <c r="A26" s="31">
        <f t="shared" si="0"/>
        <v>11</v>
      </c>
      <c r="B26" s="31" t="s">
        <v>84</v>
      </c>
      <c r="C26" s="54" t="s">
        <v>214</v>
      </c>
      <c r="D26" s="16" t="s">
        <v>9</v>
      </c>
      <c r="E26" s="128">
        <v>30</v>
      </c>
      <c r="F26" s="48"/>
      <c r="G26" s="48"/>
      <c r="H26" s="48"/>
    </row>
    <row r="27" spans="1:8" s="14" customFormat="1" ht="25.5">
      <c r="A27" s="31">
        <f t="shared" si="0"/>
        <v>12</v>
      </c>
      <c r="B27" s="31" t="s">
        <v>84</v>
      </c>
      <c r="C27" s="54" t="s">
        <v>215</v>
      </c>
      <c r="D27" s="16" t="s">
        <v>9</v>
      </c>
      <c r="E27" s="128">
        <v>1</v>
      </c>
      <c r="F27" s="48"/>
      <c r="G27" s="48"/>
      <c r="H27" s="48"/>
    </row>
    <row r="28" spans="1:8" s="14" customFormat="1">
      <c r="A28" s="31">
        <f t="shared" si="0"/>
        <v>13</v>
      </c>
      <c r="B28" s="31" t="s">
        <v>84</v>
      </c>
      <c r="C28" s="115" t="s">
        <v>216</v>
      </c>
      <c r="D28" s="116" t="s">
        <v>90</v>
      </c>
      <c r="E28" s="128">
        <v>2</v>
      </c>
      <c r="F28" s="48"/>
      <c r="G28" s="48"/>
      <c r="H28" s="48"/>
    </row>
    <row r="29" spans="1:8" s="14" customFormat="1" ht="25.5">
      <c r="A29" s="31">
        <f t="shared" si="0"/>
        <v>14</v>
      </c>
      <c r="B29" s="31" t="s">
        <v>84</v>
      </c>
      <c r="C29" s="111" t="s">
        <v>217</v>
      </c>
      <c r="D29" s="16" t="s">
        <v>90</v>
      </c>
      <c r="E29" s="128">
        <v>20</v>
      </c>
      <c r="F29" s="48"/>
      <c r="G29" s="48"/>
      <c r="H29" s="48"/>
    </row>
    <row r="30" spans="1:8" s="14" customFormat="1" ht="25.5">
      <c r="A30" s="31">
        <f t="shared" si="0"/>
        <v>15</v>
      </c>
      <c r="B30" s="31" t="s">
        <v>84</v>
      </c>
      <c r="C30" s="111" t="s">
        <v>218</v>
      </c>
      <c r="D30" s="16" t="s">
        <v>90</v>
      </c>
      <c r="E30" s="128">
        <v>30</v>
      </c>
      <c r="F30" s="170"/>
      <c r="G30" s="48"/>
      <c r="H30" s="48"/>
    </row>
    <row r="31" spans="1:8" s="14" customFormat="1">
      <c r="A31" s="31">
        <f t="shared" si="0"/>
        <v>16</v>
      </c>
      <c r="B31" s="31" t="s">
        <v>84</v>
      </c>
      <c r="C31" s="115" t="s">
        <v>219</v>
      </c>
      <c r="D31" s="16" t="s">
        <v>90</v>
      </c>
      <c r="E31" s="128">
        <v>2</v>
      </c>
      <c r="F31" s="48"/>
      <c r="G31" s="48"/>
      <c r="H31" s="48"/>
    </row>
    <row r="32" spans="1:8" s="14" customFormat="1">
      <c r="A32" s="31">
        <f t="shared" si="0"/>
        <v>17</v>
      </c>
      <c r="B32" s="31" t="s">
        <v>84</v>
      </c>
      <c r="C32" s="115" t="s">
        <v>220</v>
      </c>
      <c r="D32" s="16" t="s">
        <v>9</v>
      </c>
      <c r="E32" s="128">
        <v>60</v>
      </c>
      <c r="F32" s="48"/>
      <c r="G32" s="48"/>
      <c r="H32" s="48"/>
    </row>
    <row r="33" spans="1:8" s="14" customFormat="1">
      <c r="A33" s="31">
        <f t="shared" si="0"/>
        <v>18</v>
      </c>
      <c r="B33" s="31" t="s">
        <v>84</v>
      </c>
      <c r="C33" s="115" t="s">
        <v>221</v>
      </c>
      <c r="D33" s="16" t="s">
        <v>222</v>
      </c>
      <c r="E33" s="128">
        <v>8</v>
      </c>
      <c r="F33" s="48"/>
      <c r="G33" s="48"/>
      <c r="H33" s="48"/>
    </row>
    <row r="34" spans="1:8" s="14" customFormat="1">
      <c r="A34" s="33">
        <f t="shared" si="0"/>
        <v>19</v>
      </c>
      <c r="B34" s="31" t="s">
        <v>84</v>
      </c>
      <c r="C34" s="117" t="s">
        <v>210</v>
      </c>
      <c r="D34" s="59" t="s">
        <v>8</v>
      </c>
      <c r="E34" s="128">
        <v>1</v>
      </c>
      <c r="F34" s="48"/>
      <c r="G34" s="48"/>
      <c r="H34" s="48"/>
    </row>
    <row r="35" spans="1:8" s="45" customFormat="1">
      <c r="A35" s="283"/>
      <c r="B35" s="283"/>
      <c r="C35" s="37" t="s">
        <v>0</v>
      </c>
      <c r="D35" s="38"/>
      <c r="E35" s="39"/>
      <c r="F35" s="44"/>
      <c r="G35" s="44"/>
    </row>
    <row r="36" spans="1:8" s="21" customFormat="1">
      <c r="A36" s="19"/>
      <c r="B36" s="19"/>
      <c r="C36" s="20"/>
    </row>
    <row r="37" spans="1:8" s="21" customFormat="1">
      <c r="A37" s="22"/>
      <c r="B37" s="6"/>
      <c r="C37" s="20"/>
      <c r="D37" s="20"/>
      <c r="E37" s="255"/>
      <c r="F37" s="216"/>
      <c r="G37" s="215"/>
    </row>
    <row r="38" spans="1:8" s="3" customFormat="1">
      <c r="A38" s="331" t="s">
        <v>14</v>
      </c>
      <c r="B38" s="331"/>
      <c r="C38" s="275" t="s">
        <v>1082</v>
      </c>
      <c r="D38" s="20"/>
      <c r="E38" s="255"/>
      <c r="F38" s="218"/>
      <c r="G38" s="217"/>
    </row>
    <row r="39" spans="1:8">
      <c r="B39" s="6"/>
      <c r="C39" s="74" t="s">
        <v>15</v>
      </c>
      <c r="D39" s="20"/>
      <c r="E39" s="255"/>
      <c r="F39" s="220"/>
      <c r="G39" s="217"/>
    </row>
    <row r="40" spans="1:8">
      <c r="B40" s="6"/>
      <c r="C40" s="238" t="s">
        <v>21</v>
      </c>
      <c r="D40" s="20"/>
      <c r="E40" s="255"/>
      <c r="F40" s="215"/>
      <c r="G40" s="215"/>
    </row>
    <row r="41" spans="1:8">
      <c r="B41" s="6"/>
      <c r="C41" s="6" t="s">
        <v>1086</v>
      </c>
      <c r="D41" s="20"/>
      <c r="E41" s="255"/>
      <c r="F41" s="215"/>
      <c r="G41" s="215"/>
    </row>
  </sheetData>
  <mergeCells count="8">
    <mergeCell ref="A38:B38"/>
    <mergeCell ref="A1:E1"/>
    <mergeCell ref="A2:E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zoomScaleNormal="100" workbookViewId="0">
      <selection activeCell="C13" sqref="C13"/>
    </sheetView>
  </sheetViews>
  <sheetFormatPr defaultColWidth="5.5703125" defaultRowHeight="12.75"/>
  <cols>
    <col min="1" max="2" width="6.42578125" style="25" customWidth="1"/>
    <col min="3" max="3" width="39.140625" style="25" customWidth="1"/>
    <col min="4" max="5" width="6.42578125" style="25" customWidth="1"/>
    <col min="6" max="6" width="5.7109375" style="23" customWidth="1"/>
    <col min="7" max="7" width="5.5703125" style="23"/>
    <col min="8" max="8" width="6.7109375" style="25" customWidth="1"/>
    <col min="9" max="16384" width="5.5703125" style="25"/>
  </cols>
  <sheetData>
    <row r="1" spans="1:7" s="3" customFormat="1">
      <c r="A1" s="332" t="s">
        <v>1100</v>
      </c>
      <c r="B1" s="332"/>
      <c r="C1" s="332"/>
      <c r="D1" s="332"/>
      <c r="E1" s="332"/>
      <c r="F1" s="1"/>
      <c r="G1" s="2"/>
    </row>
    <row r="2" spans="1:7" s="3" customFormat="1">
      <c r="A2" s="333" t="s">
        <v>28</v>
      </c>
      <c r="B2" s="333"/>
      <c r="C2" s="333"/>
      <c r="D2" s="333"/>
      <c r="E2" s="333"/>
      <c r="F2" s="2"/>
      <c r="G2" s="2"/>
    </row>
    <row r="3" spans="1:7" s="3" customFormat="1">
      <c r="A3" s="276"/>
      <c r="B3" s="276"/>
      <c r="C3" s="276"/>
      <c r="D3" s="276"/>
      <c r="E3" s="276"/>
      <c r="F3" s="2"/>
      <c r="G3" s="2"/>
    </row>
    <row r="4" spans="1:7" s="3" customFormat="1">
      <c r="A4" s="4" t="s">
        <v>19</v>
      </c>
      <c r="B4" s="4"/>
      <c r="C4" s="2"/>
      <c r="D4" s="5"/>
      <c r="E4" s="5"/>
      <c r="F4" s="2"/>
      <c r="G4" s="2"/>
    </row>
    <row r="5" spans="1:7" s="3" customFormat="1">
      <c r="A5" s="4" t="s">
        <v>13</v>
      </c>
      <c r="B5" s="4"/>
      <c r="C5" s="2"/>
      <c r="D5" s="5"/>
      <c r="E5" s="5"/>
      <c r="F5" s="2"/>
      <c r="G5" s="2"/>
    </row>
    <row r="6" spans="1:7" s="3" customFormat="1">
      <c r="A6" s="4" t="s">
        <v>18</v>
      </c>
      <c r="B6" s="4"/>
      <c r="C6" s="2"/>
      <c r="D6" s="5"/>
      <c r="E6" s="5"/>
      <c r="F6" s="2"/>
      <c r="G6" s="2"/>
    </row>
    <row r="7" spans="1:7" s="3" customFormat="1">
      <c r="A7" s="4" t="s">
        <v>1083</v>
      </c>
      <c r="B7" s="4"/>
      <c r="C7" s="2"/>
      <c r="D7" s="5"/>
      <c r="E7" s="5"/>
      <c r="F7" s="2"/>
      <c r="G7" s="2"/>
    </row>
    <row r="8" spans="1:7" s="3" customFormat="1">
      <c r="A8" s="3" t="s">
        <v>12</v>
      </c>
      <c r="B8" s="4"/>
      <c r="C8" s="2"/>
      <c r="D8" s="5"/>
      <c r="E8" s="5"/>
      <c r="F8" s="2"/>
      <c r="G8" s="2"/>
    </row>
    <row r="9" spans="1:7" s="3" customFormat="1">
      <c r="A9" s="3" t="s">
        <v>17</v>
      </c>
      <c r="C9" s="6"/>
      <c r="D9" s="5"/>
      <c r="F9" s="2"/>
      <c r="G9" s="2"/>
    </row>
    <row r="10" spans="1:7" s="3" customFormat="1">
      <c r="C10" s="6"/>
      <c r="D10" s="5"/>
      <c r="F10" s="2"/>
      <c r="G10" s="2"/>
    </row>
    <row r="11" spans="1:7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4" t="s">
        <v>2</v>
      </c>
      <c r="F11" s="2"/>
      <c r="G11" s="2"/>
    </row>
    <row r="12" spans="1:7" s="3" customFormat="1" ht="55.5" customHeight="1">
      <c r="A12" s="335"/>
      <c r="B12" s="335"/>
      <c r="C12" s="335"/>
      <c r="D12" s="335"/>
      <c r="E12" s="335"/>
      <c r="F12" s="2"/>
      <c r="G12" s="2"/>
    </row>
    <row r="13" spans="1:7" s="140" customFormat="1" ht="89.25">
      <c r="A13" s="60">
        <v>1</v>
      </c>
      <c r="B13" s="60" t="s">
        <v>377</v>
      </c>
      <c r="C13" s="167" t="s">
        <v>1240</v>
      </c>
      <c r="D13" s="68" t="s">
        <v>8</v>
      </c>
      <c r="E13" s="69">
        <v>1</v>
      </c>
      <c r="F13" s="48"/>
      <c r="G13" s="48"/>
    </row>
    <row r="14" spans="1:7" s="45" customFormat="1">
      <c r="A14" s="283"/>
      <c r="B14" s="283"/>
      <c r="C14" s="37" t="s">
        <v>0</v>
      </c>
      <c r="D14" s="38"/>
      <c r="E14" s="39"/>
      <c r="F14" s="44"/>
      <c r="G14" s="44"/>
    </row>
    <row r="15" spans="1:7" s="21" customFormat="1">
      <c r="A15" s="19"/>
      <c r="B15" s="19"/>
      <c r="C15" s="20"/>
    </row>
    <row r="16" spans="1:7" s="3" customFormat="1">
      <c r="A16" s="22"/>
      <c r="B16" s="6"/>
      <c r="C16" s="20"/>
      <c r="D16" s="20"/>
      <c r="E16" s="255"/>
      <c r="F16" s="216"/>
      <c r="G16" s="215"/>
    </row>
    <row r="17" spans="1:7">
      <c r="A17" s="331" t="s">
        <v>14</v>
      </c>
      <c r="B17" s="331"/>
      <c r="C17" s="275" t="s">
        <v>1082</v>
      </c>
      <c r="D17" s="20"/>
      <c r="E17" s="255"/>
      <c r="F17" s="218"/>
      <c r="G17" s="217"/>
    </row>
    <row r="18" spans="1:7">
      <c r="B18" s="6"/>
      <c r="C18" s="74" t="s">
        <v>15</v>
      </c>
      <c r="D18" s="20"/>
      <c r="E18" s="255"/>
      <c r="F18" s="220"/>
      <c r="G18" s="217"/>
    </row>
    <row r="19" spans="1:7">
      <c r="B19" s="6"/>
      <c r="C19" s="238" t="s">
        <v>21</v>
      </c>
      <c r="D19" s="20"/>
      <c r="E19" s="255"/>
      <c r="F19" s="215"/>
      <c r="G19" s="215"/>
    </row>
    <row r="20" spans="1:7">
      <c r="B20" s="6"/>
      <c r="C20" s="6" t="s">
        <v>1086</v>
      </c>
      <c r="D20" s="20"/>
      <c r="E20" s="255"/>
      <c r="F20" s="215"/>
      <c r="G20" s="215"/>
    </row>
  </sheetData>
  <mergeCells count="8">
    <mergeCell ref="A17:B17"/>
    <mergeCell ref="A1:E1"/>
    <mergeCell ref="A2:E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6"/>
  <sheetViews>
    <sheetView view="pageBreakPreview" topLeftCell="A31" zoomScaleNormal="262" zoomScaleSheetLayoutView="100" workbookViewId="0">
      <selection activeCell="F43" sqref="F43"/>
    </sheetView>
  </sheetViews>
  <sheetFormatPr defaultColWidth="5.5703125" defaultRowHeight="12.75"/>
  <cols>
    <col min="1" max="2" width="6.42578125" style="25" customWidth="1"/>
    <col min="3" max="3" width="46.7109375" style="25" customWidth="1"/>
    <col min="4" max="4" width="6.42578125" style="25" customWidth="1"/>
    <col min="5" max="5" width="10.28515625" style="25" customWidth="1"/>
    <col min="6" max="6" width="23" style="23" customWidth="1"/>
    <col min="7" max="7" width="5.5703125" style="23"/>
    <col min="8" max="8" width="6.7109375" style="25" customWidth="1"/>
    <col min="9" max="16384" width="5.5703125" style="25"/>
  </cols>
  <sheetData>
    <row r="1" spans="1:20" s="3" customFormat="1">
      <c r="A1" s="332" t="s">
        <v>1147</v>
      </c>
      <c r="B1" s="332"/>
      <c r="C1" s="332"/>
      <c r="D1" s="332"/>
      <c r="E1" s="332"/>
      <c r="F1" s="1"/>
      <c r="G1" s="2"/>
    </row>
    <row r="2" spans="1:20" s="3" customFormat="1">
      <c r="A2" s="333" t="s">
        <v>1103</v>
      </c>
      <c r="B2" s="333"/>
      <c r="C2" s="333"/>
      <c r="D2" s="333"/>
      <c r="E2" s="333"/>
      <c r="F2" s="2"/>
      <c r="G2" s="2"/>
    </row>
    <row r="3" spans="1:20" s="3" customFormat="1">
      <c r="A3" s="4" t="str">
        <f>[1]Buvn.kopt.!A10</f>
        <v>Objekta nosaukums: Jahtotāj servisa ēka</v>
      </c>
      <c r="B3" s="4"/>
      <c r="C3" s="2"/>
      <c r="D3" s="5"/>
      <c r="E3" s="5"/>
      <c r="F3" s="2"/>
      <c r="G3" s="2"/>
    </row>
    <row r="4" spans="1:20" s="3" customFormat="1">
      <c r="A4" s="4" t="str">
        <f>[1]Buvn.kopt.!A11</f>
        <v>Būves nosaukums: Jahtotāju servisa ēkas jaunbūve</v>
      </c>
      <c r="B4" s="4"/>
      <c r="C4" s="2"/>
      <c r="D4" s="5"/>
      <c r="E4" s="5"/>
      <c r="F4" s="2"/>
      <c r="G4" s="2"/>
    </row>
    <row r="5" spans="1:20" s="3" customFormat="1">
      <c r="A5" s="4" t="str">
        <f>[1]Buvn.kopt.!A12</f>
        <v>Objekta adrese: Oastas iela 4, Salacgrīva, Salacgrīvas novads</v>
      </c>
      <c r="B5" s="4"/>
      <c r="C5" s="2"/>
      <c r="D5" s="5"/>
      <c r="E5" s="5"/>
      <c r="F5" s="2"/>
      <c r="G5" s="2"/>
    </row>
    <row r="6" spans="1:20" s="3" customFormat="1">
      <c r="A6" s="4" t="str">
        <f>[1]Buvn.kopt.!A13</f>
        <v>Pasūtījuma Nr. 1-39/37</v>
      </c>
      <c r="B6" s="4"/>
      <c r="C6" s="2"/>
      <c r="D6" s="5"/>
      <c r="E6" s="5"/>
      <c r="F6" s="2"/>
      <c r="G6" s="2"/>
    </row>
    <row r="7" spans="1:20" s="3" customFormat="1">
      <c r="A7" s="4"/>
      <c r="B7" s="4"/>
      <c r="C7" s="2"/>
      <c r="D7" s="5"/>
      <c r="E7" s="5"/>
      <c r="F7" s="2"/>
      <c r="G7" s="2"/>
    </row>
    <row r="8" spans="1:20" s="3" customFormat="1">
      <c r="A8" s="3" t="str">
        <f>'[1]1-1.VC'!A8</f>
        <v>Tāme sastādīta 2018.gada tirgus cenās pamatojoties uz būvprojektu</v>
      </c>
      <c r="C8" s="6"/>
      <c r="D8" s="5"/>
      <c r="F8" s="2"/>
      <c r="G8" s="2"/>
    </row>
    <row r="9" spans="1:20" s="3" customFormat="1">
      <c r="C9" s="6"/>
      <c r="D9" s="5"/>
      <c r="F9" s="2"/>
      <c r="G9" s="2"/>
    </row>
    <row r="10" spans="1:20" s="3" customFormat="1">
      <c r="A10" s="4"/>
      <c r="B10" s="4"/>
      <c r="C10" s="4"/>
      <c r="D10" s="2"/>
      <c r="F10" s="2"/>
      <c r="G10" s="2"/>
    </row>
    <row r="11" spans="1:20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4" t="s">
        <v>2</v>
      </c>
      <c r="F11" s="2"/>
      <c r="G11" s="2"/>
    </row>
    <row r="12" spans="1:20" s="3" customFormat="1" ht="55.5" customHeight="1">
      <c r="A12" s="335"/>
      <c r="B12" s="335"/>
      <c r="C12" s="335"/>
      <c r="D12" s="335"/>
      <c r="E12" s="335"/>
      <c r="F12" s="2"/>
      <c r="G12" s="2"/>
    </row>
    <row r="13" spans="1:20" s="18" customFormat="1" ht="25.5">
      <c r="A13" s="76"/>
      <c r="B13" s="76" t="s">
        <v>1104</v>
      </c>
      <c r="C13" s="170" t="s">
        <v>1105</v>
      </c>
      <c r="D13" s="323"/>
      <c r="E13" s="323"/>
      <c r="F13" s="17"/>
      <c r="G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14" customFormat="1" ht="38.25">
      <c r="A14" s="30">
        <f>A13+1</f>
        <v>1</v>
      </c>
      <c r="B14" s="30" t="s">
        <v>84</v>
      </c>
      <c r="C14" s="324" t="s">
        <v>1235</v>
      </c>
      <c r="D14" s="53" t="s">
        <v>90</v>
      </c>
      <c r="E14" s="325">
        <v>1</v>
      </c>
      <c r="F14" s="48"/>
      <c r="G14" s="48"/>
      <c r="H14" s="4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14" customFormat="1" ht="25.5">
      <c r="A15" s="31">
        <f>A14+1</f>
        <v>2</v>
      </c>
      <c r="B15" s="31" t="s">
        <v>84</v>
      </c>
      <c r="C15" s="111" t="s">
        <v>1106</v>
      </c>
      <c r="D15" s="16" t="s">
        <v>90</v>
      </c>
      <c r="E15" s="128">
        <v>1</v>
      </c>
      <c r="F15" s="48"/>
      <c r="G15" s="48"/>
      <c r="H15" s="4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14" customFormat="1">
      <c r="A16" s="31">
        <f>A15+1</f>
        <v>3</v>
      </c>
      <c r="B16" s="31" t="s">
        <v>84</v>
      </c>
      <c r="C16" s="111" t="s">
        <v>1107</v>
      </c>
      <c r="D16" s="16" t="s">
        <v>90</v>
      </c>
      <c r="E16" s="128">
        <v>1</v>
      </c>
      <c r="F16" s="48"/>
      <c r="G16" s="48"/>
      <c r="H16" s="4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14" customFormat="1" ht="25.5">
      <c r="A17" s="31">
        <f>A16+1</f>
        <v>4</v>
      </c>
      <c r="B17" s="31" t="s">
        <v>84</v>
      </c>
      <c r="C17" s="111" t="s">
        <v>1108</v>
      </c>
      <c r="D17" s="16" t="s">
        <v>90</v>
      </c>
      <c r="E17" s="128">
        <v>1</v>
      </c>
      <c r="F17" s="48"/>
      <c r="G17" s="48"/>
      <c r="H17" s="4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14" customFormat="1">
      <c r="A18" s="31">
        <f t="shared" ref="A18:A30" si="0">A17+1</f>
        <v>5</v>
      </c>
      <c r="B18" s="31" t="s">
        <v>84</v>
      </c>
      <c r="C18" s="111" t="s">
        <v>1109</v>
      </c>
      <c r="D18" s="16" t="s">
        <v>90</v>
      </c>
      <c r="E18" s="128">
        <v>1</v>
      </c>
      <c r="F18" s="48"/>
      <c r="G18" s="48"/>
      <c r="H18" s="4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14" customFormat="1">
      <c r="A19" s="31">
        <f t="shared" si="0"/>
        <v>6</v>
      </c>
      <c r="B19" s="31" t="s">
        <v>84</v>
      </c>
      <c r="C19" s="111" t="s">
        <v>1110</v>
      </c>
      <c r="D19" s="16" t="s">
        <v>90</v>
      </c>
      <c r="E19" s="128">
        <v>1</v>
      </c>
      <c r="F19" s="48"/>
      <c r="G19" s="48"/>
      <c r="H19" s="4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14" customFormat="1" ht="25.5">
      <c r="A20" s="31">
        <f t="shared" si="0"/>
        <v>7</v>
      </c>
      <c r="B20" s="31" t="s">
        <v>84</v>
      </c>
      <c r="C20" s="111" t="s">
        <v>1111</v>
      </c>
      <c r="D20" s="16" t="s">
        <v>9</v>
      </c>
      <c r="E20" s="128">
        <v>4</v>
      </c>
      <c r="F20" s="48"/>
      <c r="G20" s="48"/>
      <c r="H20" s="4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14" customFormat="1">
      <c r="A21" s="31">
        <f t="shared" si="0"/>
        <v>8</v>
      </c>
      <c r="B21" s="31" t="s">
        <v>84</v>
      </c>
      <c r="C21" s="54" t="s">
        <v>1112</v>
      </c>
      <c r="D21" s="16" t="s">
        <v>90</v>
      </c>
      <c r="E21" s="128">
        <v>1</v>
      </c>
      <c r="F21" s="48"/>
      <c r="G21" s="48"/>
      <c r="H21" s="4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14" customFormat="1">
      <c r="A22" s="31">
        <f t="shared" si="0"/>
        <v>9</v>
      </c>
      <c r="B22" s="31" t="s">
        <v>84</v>
      </c>
      <c r="C22" s="15" t="s">
        <v>1113</v>
      </c>
      <c r="D22" s="16" t="s">
        <v>1114</v>
      </c>
      <c r="E22" s="128">
        <v>1</v>
      </c>
      <c r="F22" s="48"/>
      <c r="G22" s="48"/>
      <c r="H22" s="4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14" customFormat="1">
      <c r="A23" s="31">
        <f t="shared" si="0"/>
        <v>10</v>
      </c>
      <c r="B23" s="31" t="s">
        <v>84</v>
      </c>
      <c r="C23" s="115" t="s">
        <v>1115</v>
      </c>
      <c r="D23" s="16" t="s">
        <v>9</v>
      </c>
      <c r="E23" s="128">
        <v>10</v>
      </c>
      <c r="F23" s="48"/>
      <c r="G23" s="48"/>
      <c r="H23" s="4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14" customFormat="1">
      <c r="A24" s="31">
        <f t="shared" si="0"/>
        <v>11</v>
      </c>
      <c r="B24" s="31" t="s">
        <v>84</v>
      </c>
      <c r="C24" s="54" t="s">
        <v>1116</v>
      </c>
      <c r="D24" s="16" t="s">
        <v>90</v>
      </c>
      <c r="E24" s="128">
        <v>1</v>
      </c>
      <c r="F24" s="48"/>
      <c r="G24" s="48"/>
      <c r="H24" s="4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14" customFormat="1">
      <c r="A25" s="31">
        <f t="shared" si="0"/>
        <v>12</v>
      </c>
      <c r="B25" s="31" t="s">
        <v>84</v>
      </c>
      <c r="C25" s="54" t="s">
        <v>1117</v>
      </c>
      <c r="D25" s="16" t="s">
        <v>90</v>
      </c>
      <c r="E25" s="128">
        <v>2</v>
      </c>
      <c r="F25" s="48"/>
      <c r="G25" s="48"/>
      <c r="H25" s="4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14" customFormat="1">
      <c r="A26" s="33">
        <f t="shared" si="0"/>
        <v>13</v>
      </c>
      <c r="B26" s="33" t="s">
        <v>84</v>
      </c>
      <c r="C26" s="117" t="s">
        <v>1118</v>
      </c>
      <c r="D26" s="326" t="s">
        <v>9</v>
      </c>
      <c r="E26" s="327">
        <v>4.5</v>
      </c>
      <c r="F26" s="48"/>
      <c r="G26" s="48"/>
      <c r="H26" s="4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14" customFormat="1" ht="25.5">
      <c r="A27" s="76"/>
      <c r="B27" s="76" t="s">
        <v>1104</v>
      </c>
      <c r="C27" s="170" t="s">
        <v>1119</v>
      </c>
      <c r="D27" s="139"/>
      <c r="E27" s="139"/>
      <c r="F27" s="48"/>
      <c r="G27" s="48"/>
      <c r="H27" s="4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14" customFormat="1" ht="25.5">
      <c r="A28" s="76"/>
      <c r="B28" s="76" t="s">
        <v>1120</v>
      </c>
      <c r="C28" s="170" t="s">
        <v>1121</v>
      </c>
      <c r="D28" s="139"/>
      <c r="E28" s="139"/>
      <c r="F28" s="48"/>
      <c r="G28" s="48"/>
      <c r="H28" s="4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14" customFormat="1" ht="25.5">
      <c r="A29" s="7">
        <f>A26+1</f>
        <v>14</v>
      </c>
      <c r="B29" s="7" t="s">
        <v>84</v>
      </c>
      <c r="C29" s="112" t="s">
        <v>1122</v>
      </c>
      <c r="D29" s="62" t="s">
        <v>90</v>
      </c>
      <c r="E29" s="328">
        <v>1</v>
      </c>
      <c r="F29" s="48"/>
      <c r="G29" s="48"/>
      <c r="H29" s="4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14" customFormat="1" ht="25.5">
      <c r="A30" s="31">
        <f t="shared" si="0"/>
        <v>15</v>
      </c>
      <c r="B30" s="31" t="s">
        <v>84</v>
      </c>
      <c r="C30" s="111" t="s">
        <v>1123</v>
      </c>
      <c r="D30" s="16" t="s">
        <v>90</v>
      </c>
      <c r="E30" s="128">
        <v>1</v>
      </c>
      <c r="F30" s="48"/>
      <c r="G30" s="48"/>
      <c r="H30" s="4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14" customFormat="1" ht="25.5">
      <c r="A31" s="76"/>
      <c r="B31" s="76" t="s">
        <v>1120</v>
      </c>
      <c r="C31" s="170" t="s">
        <v>1124</v>
      </c>
      <c r="D31" s="139"/>
      <c r="E31" s="139"/>
      <c r="F31" s="48"/>
      <c r="G31" s="48"/>
      <c r="H31" s="4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14" customFormat="1" ht="38.25">
      <c r="A32" s="31">
        <f>A30+1</f>
        <v>16</v>
      </c>
      <c r="B32" s="31" t="s">
        <v>84</v>
      </c>
      <c r="C32" s="111" t="s">
        <v>1125</v>
      </c>
      <c r="D32" s="16" t="s">
        <v>90</v>
      </c>
      <c r="E32" s="128">
        <v>1</v>
      </c>
      <c r="F32" s="48"/>
      <c r="G32" s="48"/>
      <c r="H32" s="4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14" customFormat="1" ht="25.5">
      <c r="A33" s="31">
        <f t="shared" ref="A33:A51" si="1">A32+1</f>
        <v>17</v>
      </c>
      <c r="B33" s="31" t="s">
        <v>84</v>
      </c>
      <c r="C33" s="111" t="s">
        <v>1126</v>
      </c>
      <c r="D33" s="16" t="s">
        <v>90</v>
      </c>
      <c r="E33" s="128">
        <v>1</v>
      </c>
      <c r="F33" s="48"/>
      <c r="G33" s="48"/>
      <c r="H33" s="4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14" customFormat="1" ht="25.5">
      <c r="A34" s="31">
        <f t="shared" si="1"/>
        <v>18</v>
      </c>
      <c r="B34" s="31" t="s">
        <v>84</v>
      </c>
      <c r="C34" s="111" t="s">
        <v>1127</v>
      </c>
      <c r="D34" s="16" t="s">
        <v>90</v>
      </c>
      <c r="E34" s="128">
        <v>1</v>
      </c>
      <c r="F34" s="48"/>
      <c r="G34" s="48"/>
      <c r="H34" s="4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4" customFormat="1" ht="25.5">
      <c r="A35" s="31">
        <f t="shared" si="1"/>
        <v>19</v>
      </c>
      <c r="B35" s="31" t="s">
        <v>84</v>
      </c>
      <c r="C35" s="111" t="s">
        <v>1128</v>
      </c>
      <c r="D35" s="16" t="s">
        <v>90</v>
      </c>
      <c r="E35" s="128">
        <v>1</v>
      </c>
      <c r="F35" s="48"/>
      <c r="G35" s="48"/>
      <c r="H35" s="4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14" customFormat="1" ht="25.5">
      <c r="A36" s="31">
        <f t="shared" si="1"/>
        <v>20</v>
      </c>
      <c r="B36" s="31" t="s">
        <v>84</v>
      </c>
      <c r="C36" s="111" t="s">
        <v>1129</v>
      </c>
      <c r="D36" s="16" t="s">
        <v>9</v>
      </c>
      <c r="E36" s="128">
        <v>36</v>
      </c>
      <c r="F36" s="48"/>
      <c r="G36" s="48"/>
      <c r="H36" s="4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14" customFormat="1">
      <c r="A37" s="31">
        <f t="shared" si="1"/>
        <v>21</v>
      </c>
      <c r="B37" s="31" t="s">
        <v>84</v>
      </c>
      <c r="C37" s="111" t="s">
        <v>1130</v>
      </c>
      <c r="D37" s="16" t="s">
        <v>90</v>
      </c>
      <c r="E37" s="128">
        <v>1</v>
      </c>
      <c r="F37" s="48"/>
      <c r="G37" s="48"/>
      <c r="H37" s="4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14" customFormat="1">
      <c r="A38" s="31">
        <f t="shared" si="1"/>
        <v>22</v>
      </c>
      <c r="B38" s="31" t="s">
        <v>84</v>
      </c>
      <c r="C38" s="111" t="s">
        <v>1131</v>
      </c>
      <c r="D38" s="16" t="s">
        <v>9</v>
      </c>
      <c r="E38" s="128">
        <v>36</v>
      </c>
      <c r="F38" s="48"/>
      <c r="G38" s="48"/>
      <c r="H38" s="4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4" customFormat="1">
      <c r="A39" s="31">
        <f t="shared" si="1"/>
        <v>23</v>
      </c>
      <c r="B39" s="31" t="s">
        <v>84</v>
      </c>
      <c r="C39" s="111" t="s">
        <v>1132</v>
      </c>
      <c r="D39" s="16" t="s">
        <v>90</v>
      </c>
      <c r="E39" s="128">
        <v>2</v>
      </c>
      <c r="F39" s="48"/>
      <c r="G39" s="48"/>
      <c r="H39" s="4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14" customFormat="1">
      <c r="A40" s="31">
        <f t="shared" si="1"/>
        <v>24</v>
      </c>
      <c r="B40" s="31" t="s">
        <v>84</v>
      </c>
      <c r="C40" s="111" t="s">
        <v>1133</v>
      </c>
      <c r="D40" s="16" t="s">
        <v>90</v>
      </c>
      <c r="E40" s="128">
        <v>4</v>
      </c>
      <c r="F40" s="48"/>
      <c r="G40" s="48"/>
      <c r="H40" s="4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14" customFormat="1">
      <c r="A41" s="31">
        <f t="shared" si="1"/>
        <v>25</v>
      </c>
      <c r="B41" s="31" t="s">
        <v>84</v>
      </c>
      <c r="C41" s="111" t="s">
        <v>1134</v>
      </c>
      <c r="D41" s="16" t="s">
        <v>1135</v>
      </c>
      <c r="E41" s="128">
        <v>1</v>
      </c>
      <c r="F41" s="48"/>
      <c r="G41" s="48"/>
      <c r="H41" s="4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14" customFormat="1">
      <c r="A42" s="31">
        <f t="shared" si="1"/>
        <v>26</v>
      </c>
      <c r="B42" s="31" t="s">
        <v>84</v>
      </c>
      <c r="C42" s="329" t="s">
        <v>1136</v>
      </c>
      <c r="D42" s="16" t="s">
        <v>9</v>
      </c>
      <c r="E42" s="128">
        <v>18</v>
      </c>
      <c r="F42" s="48"/>
      <c r="G42" s="48"/>
      <c r="H42" s="4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14" customFormat="1">
      <c r="A43" s="31">
        <f t="shared" si="1"/>
        <v>27</v>
      </c>
      <c r="B43" s="31" t="s">
        <v>84</v>
      </c>
      <c r="C43" s="329" t="s">
        <v>1137</v>
      </c>
      <c r="D43" s="16" t="s">
        <v>9</v>
      </c>
      <c r="E43" s="128">
        <v>30</v>
      </c>
      <c r="F43" s="48"/>
      <c r="G43" s="48"/>
      <c r="H43" s="4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14" customFormat="1">
      <c r="A44" s="31">
        <f t="shared" si="1"/>
        <v>28</v>
      </c>
      <c r="B44" s="31" t="s">
        <v>84</v>
      </c>
      <c r="C44" s="111" t="s">
        <v>1138</v>
      </c>
      <c r="D44" s="16" t="s">
        <v>9</v>
      </c>
      <c r="E44" s="128">
        <v>36</v>
      </c>
      <c r="F44" s="48"/>
      <c r="G44" s="48"/>
      <c r="H44" s="4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14" customFormat="1">
      <c r="A45" s="31">
        <f t="shared" si="1"/>
        <v>29</v>
      </c>
      <c r="B45" s="31" t="s">
        <v>84</v>
      </c>
      <c r="C45" s="111" t="s">
        <v>1139</v>
      </c>
      <c r="D45" s="16" t="s">
        <v>9</v>
      </c>
      <c r="E45" s="128">
        <v>6</v>
      </c>
      <c r="F45" s="48"/>
      <c r="G45" s="48"/>
      <c r="H45" s="4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14" customFormat="1">
      <c r="A46" s="31">
        <f t="shared" si="1"/>
        <v>30</v>
      </c>
      <c r="B46" s="31" t="s">
        <v>84</v>
      </c>
      <c r="C46" s="111" t="s">
        <v>1140</v>
      </c>
      <c r="D46" s="16" t="s">
        <v>90</v>
      </c>
      <c r="E46" s="128">
        <v>2</v>
      </c>
      <c r="F46" s="48"/>
      <c r="G46" s="48"/>
      <c r="H46" s="4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14" customFormat="1">
      <c r="A47" s="31">
        <f t="shared" si="1"/>
        <v>31</v>
      </c>
      <c r="B47" s="31" t="s">
        <v>84</v>
      </c>
      <c r="C47" s="111" t="s">
        <v>1141</v>
      </c>
      <c r="D47" s="16" t="s">
        <v>11</v>
      </c>
      <c r="E47" s="128">
        <v>2</v>
      </c>
      <c r="F47" s="48"/>
      <c r="G47" s="48"/>
      <c r="H47" s="4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14" customFormat="1">
      <c r="A48" s="31">
        <f t="shared" si="1"/>
        <v>32</v>
      </c>
      <c r="B48" s="31" t="s">
        <v>84</v>
      </c>
      <c r="C48" s="111" t="s">
        <v>1142</v>
      </c>
      <c r="D48" s="16" t="s">
        <v>10</v>
      </c>
      <c r="E48" s="128">
        <v>18</v>
      </c>
      <c r="F48" s="48"/>
      <c r="G48" s="48"/>
      <c r="H48" s="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14" customFormat="1">
      <c r="A49" s="31">
        <f t="shared" si="1"/>
        <v>33</v>
      </c>
      <c r="B49" s="31" t="s">
        <v>84</v>
      </c>
      <c r="C49" s="111" t="s">
        <v>1143</v>
      </c>
      <c r="D49" s="16" t="s">
        <v>10</v>
      </c>
      <c r="E49" s="128">
        <v>3</v>
      </c>
      <c r="F49" s="48"/>
      <c r="G49" s="48"/>
      <c r="H49" s="4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14" customFormat="1">
      <c r="A50" s="31">
        <f t="shared" si="1"/>
        <v>34</v>
      </c>
      <c r="B50" s="31" t="s">
        <v>84</v>
      </c>
      <c r="C50" s="111" t="s">
        <v>1144</v>
      </c>
      <c r="D50" s="16" t="s">
        <v>720</v>
      </c>
      <c r="E50" s="128">
        <v>1</v>
      </c>
      <c r="F50" s="48"/>
      <c r="G50" s="48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14" customFormat="1">
      <c r="A51" s="31">
        <f t="shared" si="1"/>
        <v>35</v>
      </c>
      <c r="B51" s="31" t="s">
        <v>84</v>
      </c>
      <c r="C51" s="111" t="s">
        <v>1145</v>
      </c>
      <c r="D51" s="16" t="s">
        <v>720</v>
      </c>
      <c r="E51" s="128">
        <v>1</v>
      </c>
      <c r="F51" s="48"/>
      <c r="G51" s="48"/>
      <c r="H51" s="4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3" customFormat="1" ht="25.5">
      <c r="A52" s="36"/>
      <c r="B52" s="36"/>
      <c r="C52" s="37" t="s">
        <v>1146</v>
      </c>
      <c r="D52" s="38"/>
      <c r="E52" s="39"/>
      <c r="F52" s="48"/>
      <c r="G52" s="2"/>
    </row>
    <row r="53" spans="1:20" s="21" customFormat="1">
      <c r="A53" s="19"/>
      <c r="B53" s="19"/>
      <c r="C53" s="2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21" customFormat="1">
      <c r="A54" s="22"/>
      <c r="B54" s="6"/>
      <c r="C54" s="20"/>
      <c r="D54" s="20"/>
      <c r="E54" s="25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21" customFormat="1" ht="12.75" customHeight="1">
      <c r="A55" s="331" t="s">
        <v>14</v>
      </c>
      <c r="B55" s="331"/>
      <c r="C55" s="275" t="s">
        <v>1082</v>
      </c>
      <c r="D55" s="20"/>
      <c r="E55" s="25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21" customFormat="1">
      <c r="A56" s="25"/>
      <c r="B56" s="6"/>
      <c r="C56" s="74" t="s">
        <v>15</v>
      </c>
      <c r="D56" s="20"/>
      <c r="E56" s="25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B57" s="6"/>
      <c r="C57" s="238" t="s">
        <v>21</v>
      </c>
      <c r="D57" s="20"/>
      <c r="E57" s="255"/>
      <c r="F57" s="25"/>
      <c r="G57" s="2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23" customFormat="1">
      <c r="A58" s="25"/>
      <c r="B58" s="6"/>
      <c r="C58" s="6" t="s">
        <v>1086</v>
      </c>
      <c r="D58" s="20"/>
      <c r="E58" s="25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F59" s="25"/>
      <c r="G59" s="2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F60" s="25"/>
      <c r="G60" s="2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customHeight="1">
      <c r="F61" s="25"/>
      <c r="G61" s="2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F62" s="25"/>
      <c r="G62" s="2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3" customFormat="1">
      <c r="A63" s="25"/>
      <c r="B63" s="25"/>
      <c r="C63" s="25"/>
      <c r="D63" s="25"/>
      <c r="E63" s="25"/>
      <c r="F63" s="2"/>
      <c r="G63" s="2"/>
    </row>
    <row r="64" spans="1:20" s="3" customFormat="1">
      <c r="A64" s="25"/>
      <c r="B64" s="25"/>
      <c r="C64" s="25"/>
      <c r="D64" s="25"/>
      <c r="E64" s="25"/>
      <c r="F64" s="2"/>
      <c r="G64" s="2"/>
    </row>
    <row r="65" spans="1:7" s="3" customFormat="1">
      <c r="A65" s="25"/>
      <c r="B65" s="25"/>
      <c r="C65" s="25"/>
      <c r="D65" s="25"/>
      <c r="E65" s="25"/>
      <c r="F65" s="2"/>
      <c r="G65" s="2"/>
    </row>
    <row r="66" spans="1:7" s="3" customFormat="1">
      <c r="A66" s="25"/>
      <c r="B66" s="25"/>
      <c r="C66" s="25"/>
      <c r="D66" s="25"/>
      <c r="E66" s="25"/>
      <c r="F66" s="2"/>
      <c r="G66" s="2"/>
    </row>
  </sheetData>
  <mergeCells count="8">
    <mergeCell ref="A55:B55"/>
    <mergeCell ref="A1:E1"/>
    <mergeCell ref="A2:E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01"/>
  <sheetViews>
    <sheetView tabSelected="1" view="pageBreakPreview" topLeftCell="A19" zoomScaleNormal="298" zoomScaleSheetLayoutView="100" workbookViewId="0">
      <selection activeCell="C91" sqref="C91"/>
    </sheetView>
  </sheetViews>
  <sheetFormatPr defaultColWidth="5.5703125" defaultRowHeight="12.75"/>
  <cols>
    <col min="1" max="2" width="6.42578125" style="25" customWidth="1"/>
    <col min="3" max="3" width="42.5703125" style="25" customWidth="1"/>
    <col min="4" max="4" width="6.42578125" style="25" customWidth="1"/>
    <col min="5" max="5" width="11.140625" style="25" customWidth="1"/>
    <col min="6" max="6" width="5.7109375" style="23" customWidth="1"/>
    <col min="7" max="7" width="5.5703125" style="23"/>
    <col min="8" max="8" width="6.7109375" style="25" customWidth="1"/>
    <col min="9" max="16384" width="5.5703125" style="25"/>
  </cols>
  <sheetData>
    <row r="1" spans="1:7" s="3" customFormat="1">
      <c r="A1" s="332" t="s">
        <v>1101</v>
      </c>
      <c r="B1" s="332"/>
      <c r="C1" s="332"/>
      <c r="D1" s="332"/>
      <c r="E1" s="332"/>
      <c r="F1" s="1"/>
      <c r="G1" s="2"/>
    </row>
    <row r="2" spans="1:7" s="3" customFormat="1">
      <c r="A2" s="333" t="s">
        <v>27</v>
      </c>
      <c r="B2" s="333"/>
      <c r="C2" s="333"/>
      <c r="D2" s="333"/>
      <c r="E2" s="333"/>
      <c r="F2" s="2"/>
      <c r="G2" s="2"/>
    </row>
    <row r="3" spans="1:7" s="3" customFormat="1">
      <c r="A3" s="276"/>
      <c r="B3" s="276"/>
      <c r="C3" s="276"/>
      <c r="D3" s="276"/>
      <c r="E3" s="276"/>
      <c r="F3" s="2"/>
      <c r="G3" s="2"/>
    </row>
    <row r="4" spans="1:7" s="3" customFormat="1">
      <c r="A4" s="4" t="s">
        <v>19</v>
      </c>
      <c r="B4" s="4"/>
      <c r="C4" s="2"/>
      <c r="D4" s="5"/>
      <c r="E4" s="5"/>
      <c r="F4" s="2"/>
      <c r="G4" s="2"/>
    </row>
    <row r="5" spans="1:7" s="3" customFormat="1">
      <c r="A5" s="4" t="s">
        <v>13</v>
      </c>
      <c r="B5" s="4"/>
      <c r="C5" s="2"/>
      <c r="D5" s="5"/>
      <c r="E5" s="5"/>
      <c r="F5" s="2"/>
      <c r="G5" s="2"/>
    </row>
    <row r="6" spans="1:7" s="3" customFormat="1">
      <c r="A6" s="4" t="s">
        <v>18</v>
      </c>
      <c r="B6" s="4"/>
      <c r="C6" s="2"/>
      <c r="D6" s="5"/>
      <c r="E6" s="5"/>
      <c r="F6" s="2"/>
      <c r="G6" s="2"/>
    </row>
    <row r="7" spans="1:7" s="3" customFormat="1">
      <c r="A7" s="4" t="s">
        <v>1083</v>
      </c>
      <c r="B7" s="4"/>
      <c r="C7" s="2"/>
      <c r="D7" s="5"/>
      <c r="E7" s="5"/>
      <c r="F7" s="2"/>
      <c r="G7" s="2"/>
    </row>
    <row r="8" spans="1:7" s="3" customFormat="1">
      <c r="A8" s="3" t="s">
        <v>12</v>
      </c>
      <c r="B8" s="4"/>
      <c r="C8" s="2"/>
      <c r="D8" s="5"/>
      <c r="E8" s="5"/>
      <c r="F8" s="2"/>
      <c r="G8" s="2"/>
    </row>
    <row r="9" spans="1:7" s="3" customFormat="1">
      <c r="A9" s="3" t="s">
        <v>17</v>
      </c>
      <c r="C9" s="6"/>
      <c r="D9" s="5"/>
      <c r="F9" s="2"/>
      <c r="G9" s="2"/>
    </row>
    <row r="10" spans="1:7" s="3" customFormat="1">
      <c r="C10" s="6"/>
      <c r="D10" s="5"/>
      <c r="F10" s="2"/>
      <c r="G10" s="2"/>
    </row>
    <row r="11" spans="1:7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4" t="s">
        <v>2</v>
      </c>
      <c r="F11" s="2"/>
      <c r="G11" s="2"/>
    </row>
    <row r="12" spans="1:7" s="3" customFormat="1" ht="55.5" customHeight="1">
      <c r="A12" s="335"/>
      <c r="B12" s="335"/>
      <c r="C12" s="335"/>
      <c r="D12" s="335"/>
      <c r="E12" s="335"/>
      <c r="F12" s="2"/>
      <c r="G12" s="2"/>
    </row>
    <row r="13" spans="1:7" s="140" customFormat="1" ht="25.5">
      <c r="A13" s="76"/>
      <c r="B13" s="76" t="s">
        <v>370</v>
      </c>
      <c r="C13" s="77" t="s">
        <v>33</v>
      </c>
      <c r="D13" s="90" t="s">
        <v>175</v>
      </c>
      <c r="E13" s="79">
        <v>3</v>
      </c>
      <c r="F13" s="48"/>
      <c r="G13" s="48"/>
    </row>
    <row r="14" spans="1:7" s="140" customFormat="1">
      <c r="A14" s="60">
        <v>1</v>
      </c>
      <c r="B14" s="176" t="s">
        <v>84</v>
      </c>
      <c r="C14" s="57" t="s">
        <v>408</v>
      </c>
      <c r="D14" s="53" t="s">
        <v>10</v>
      </c>
      <c r="E14" s="58">
        <v>137</v>
      </c>
      <c r="F14" s="48"/>
      <c r="G14" s="48"/>
    </row>
    <row r="15" spans="1:7" s="140" customFormat="1" ht="25.5">
      <c r="A15" s="42">
        <f>A14+1</f>
        <v>2</v>
      </c>
      <c r="B15" s="42" t="s">
        <v>84</v>
      </c>
      <c r="C15" s="122" t="s">
        <v>412</v>
      </c>
      <c r="D15" s="177" t="s">
        <v>10</v>
      </c>
      <c r="E15" s="43">
        <v>1853</v>
      </c>
      <c r="F15" s="48"/>
      <c r="G15" s="48"/>
    </row>
    <row r="16" spans="1:7" s="140" customFormat="1" ht="25.5">
      <c r="A16" s="76"/>
      <c r="B16" s="76" t="s">
        <v>379</v>
      </c>
      <c r="C16" s="77" t="s">
        <v>67</v>
      </c>
      <c r="D16" s="90" t="s">
        <v>175</v>
      </c>
      <c r="E16" s="79">
        <v>3</v>
      </c>
      <c r="F16" s="48"/>
      <c r="G16" s="48"/>
    </row>
    <row r="17" spans="1:8" s="14" customFormat="1" ht="25.5">
      <c r="A17" s="7">
        <f>A15+1</f>
        <v>3</v>
      </c>
      <c r="B17" s="7" t="s">
        <v>84</v>
      </c>
      <c r="C17" s="61" t="s">
        <v>45</v>
      </c>
      <c r="D17" s="89" t="s">
        <v>175</v>
      </c>
      <c r="E17" s="29">
        <v>3</v>
      </c>
      <c r="F17" s="48"/>
      <c r="G17" s="48"/>
      <c r="H17" s="48"/>
    </row>
    <row r="18" spans="1:8" s="14" customFormat="1" ht="15.75">
      <c r="A18" s="31">
        <f>A17+1</f>
        <v>4</v>
      </c>
      <c r="B18" s="31" t="s">
        <v>84</v>
      </c>
      <c r="C18" s="12" t="s">
        <v>44</v>
      </c>
      <c r="D18" s="85" t="s">
        <v>176</v>
      </c>
      <c r="E18" s="11">
        <f>E13*0.07</f>
        <v>0.21000000000000002</v>
      </c>
      <c r="F18" s="48"/>
      <c r="G18" s="48"/>
      <c r="H18" s="48"/>
    </row>
    <row r="19" spans="1:8" s="14" customFormat="1" ht="15.75">
      <c r="A19" s="31">
        <f t="shared" ref="A19:A90" si="0">A18+1</f>
        <v>5</v>
      </c>
      <c r="B19" s="31" t="s">
        <v>84</v>
      </c>
      <c r="C19" s="12" t="s">
        <v>61</v>
      </c>
      <c r="D19" s="85" t="s">
        <v>175</v>
      </c>
      <c r="E19" s="11">
        <f>E13*1.1</f>
        <v>3.3000000000000003</v>
      </c>
      <c r="F19" s="48"/>
      <c r="G19" s="48"/>
      <c r="H19" s="48"/>
    </row>
    <row r="20" spans="1:8" s="14" customFormat="1" ht="15.75">
      <c r="A20" s="31">
        <f t="shared" si="0"/>
        <v>6</v>
      </c>
      <c r="B20" s="31" t="s">
        <v>84</v>
      </c>
      <c r="C20" s="55" t="s">
        <v>52</v>
      </c>
      <c r="D20" s="85" t="s">
        <v>176</v>
      </c>
      <c r="E20" s="11">
        <f>E13*0.15</f>
        <v>0.44999999999999996</v>
      </c>
      <c r="F20" s="48"/>
      <c r="G20" s="48"/>
      <c r="H20" s="48"/>
    </row>
    <row r="21" spans="1:8" s="14" customFormat="1" ht="15.75">
      <c r="A21" s="33">
        <f t="shared" si="0"/>
        <v>7</v>
      </c>
      <c r="B21" s="33" t="s">
        <v>84</v>
      </c>
      <c r="C21" s="123" t="s">
        <v>63</v>
      </c>
      <c r="D21" s="102" t="s">
        <v>176</v>
      </c>
      <c r="E21" s="34">
        <f>E13*0.15</f>
        <v>0.44999999999999996</v>
      </c>
      <c r="F21" s="48"/>
      <c r="G21" s="48"/>
      <c r="H21" s="48"/>
    </row>
    <row r="22" spans="1:8" s="14" customFormat="1" ht="25.5">
      <c r="A22" s="80"/>
      <c r="B22" s="80" t="s">
        <v>380</v>
      </c>
      <c r="C22" s="72" t="s">
        <v>29</v>
      </c>
      <c r="D22" s="80" t="s">
        <v>7</v>
      </c>
      <c r="E22" s="81">
        <v>242</v>
      </c>
      <c r="F22" s="48"/>
      <c r="G22" s="48"/>
      <c r="H22" s="48"/>
    </row>
    <row r="23" spans="1:8" s="14" customFormat="1">
      <c r="A23" s="30">
        <f>A21+1</f>
        <v>8</v>
      </c>
      <c r="B23" s="30" t="s">
        <v>84</v>
      </c>
      <c r="C23" s="57" t="s">
        <v>38</v>
      </c>
      <c r="D23" s="53" t="s">
        <v>9</v>
      </c>
      <c r="E23" s="58">
        <v>84</v>
      </c>
      <c r="F23" s="48"/>
      <c r="G23" s="48"/>
      <c r="H23" s="48"/>
    </row>
    <row r="24" spans="1:8" s="14" customFormat="1">
      <c r="A24" s="31">
        <f t="shared" si="0"/>
        <v>9</v>
      </c>
      <c r="B24" s="31" t="s">
        <v>84</v>
      </c>
      <c r="C24" s="55" t="s">
        <v>39</v>
      </c>
      <c r="D24" s="16" t="s">
        <v>9</v>
      </c>
      <c r="E24" s="52">
        <v>84</v>
      </c>
      <c r="F24" s="48"/>
      <c r="G24" s="48"/>
      <c r="H24" s="48"/>
    </row>
    <row r="25" spans="1:8" s="14" customFormat="1" ht="15.75">
      <c r="A25" s="31">
        <f t="shared" si="0"/>
        <v>10</v>
      </c>
      <c r="B25" s="31" t="s">
        <v>84</v>
      </c>
      <c r="C25" s="55" t="s">
        <v>40</v>
      </c>
      <c r="D25" s="85" t="s">
        <v>176</v>
      </c>
      <c r="E25" s="11">
        <f>E24*0.06</f>
        <v>5.04</v>
      </c>
      <c r="F25" s="48"/>
      <c r="G25" s="48"/>
      <c r="H25" s="48"/>
    </row>
    <row r="26" spans="1:8" s="14" customFormat="1" ht="15.75">
      <c r="A26" s="31">
        <f t="shared" si="0"/>
        <v>11</v>
      </c>
      <c r="B26" s="31" t="s">
        <v>84</v>
      </c>
      <c r="C26" s="55" t="s">
        <v>62</v>
      </c>
      <c r="D26" s="85" t="s">
        <v>176</v>
      </c>
      <c r="E26" s="52">
        <f>E24*0.07</f>
        <v>5.8800000000000008</v>
      </c>
      <c r="F26" s="48"/>
      <c r="G26" s="48"/>
      <c r="H26" s="48"/>
    </row>
    <row r="27" spans="1:8" s="14" customFormat="1" ht="15.75">
      <c r="A27" s="31">
        <f t="shared" si="0"/>
        <v>12</v>
      </c>
      <c r="B27" s="31" t="s">
        <v>84</v>
      </c>
      <c r="C27" s="82" t="s">
        <v>64</v>
      </c>
      <c r="D27" s="85" t="s">
        <v>176</v>
      </c>
      <c r="E27" s="32">
        <f>E22*0.2</f>
        <v>48.400000000000006</v>
      </c>
      <c r="F27" s="48"/>
      <c r="G27" s="48"/>
      <c r="H27" s="48"/>
    </row>
    <row r="28" spans="1:8" s="14" customFormat="1">
      <c r="A28" s="31">
        <f t="shared" si="0"/>
        <v>13</v>
      </c>
      <c r="B28" s="31" t="s">
        <v>84</v>
      </c>
      <c r="C28" s="15" t="s">
        <v>41</v>
      </c>
      <c r="D28" s="16" t="s">
        <v>9</v>
      </c>
      <c r="E28" s="32">
        <v>14</v>
      </c>
      <c r="F28" s="48"/>
      <c r="G28" s="48"/>
      <c r="H28" s="48"/>
    </row>
    <row r="29" spans="1:8" s="14" customFormat="1">
      <c r="A29" s="31">
        <f t="shared" si="0"/>
        <v>14</v>
      </c>
      <c r="B29" s="31" t="s">
        <v>84</v>
      </c>
      <c r="C29" s="55" t="s">
        <v>39</v>
      </c>
      <c r="D29" s="16" t="s">
        <v>9</v>
      </c>
      <c r="E29" s="52">
        <v>14</v>
      </c>
      <c r="F29" s="48"/>
      <c r="G29" s="48"/>
      <c r="H29" s="48"/>
    </row>
    <row r="30" spans="1:8" s="14" customFormat="1" ht="15.75">
      <c r="A30" s="31">
        <f t="shared" si="0"/>
        <v>15</v>
      </c>
      <c r="B30" s="31" t="s">
        <v>84</v>
      </c>
      <c r="C30" s="55" t="s">
        <v>40</v>
      </c>
      <c r="D30" s="85" t="s">
        <v>176</v>
      </c>
      <c r="E30" s="11">
        <f>E28*0.5*0.1</f>
        <v>0.70000000000000007</v>
      </c>
      <c r="F30" s="48"/>
      <c r="G30" s="48"/>
      <c r="H30" s="48"/>
    </row>
    <row r="31" spans="1:8" s="14" customFormat="1" ht="15.75">
      <c r="A31" s="31">
        <f t="shared" si="0"/>
        <v>16</v>
      </c>
      <c r="B31" s="31" t="s">
        <v>84</v>
      </c>
      <c r="C31" s="55" t="s">
        <v>62</v>
      </c>
      <c r="D31" s="85" t="s">
        <v>176</v>
      </c>
      <c r="E31" s="52">
        <f>E28*0.5*0.1</f>
        <v>0.70000000000000007</v>
      </c>
      <c r="F31" s="48"/>
      <c r="G31" s="48"/>
      <c r="H31" s="48"/>
    </row>
    <row r="32" spans="1:8" s="14" customFormat="1" ht="15.75">
      <c r="A32" s="31">
        <f t="shared" si="0"/>
        <v>17</v>
      </c>
      <c r="B32" s="31" t="s">
        <v>84</v>
      </c>
      <c r="C32" s="82" t="s">
        <v>64</v>
      </c>
      <c r="D32" s="85" t="s">
        <v>176</v>
      </c>
      <c r="E32" s="32">
        <f>E28*0.5*0.1</f>
        <v>0.70000000000000007</v>
      </c>
      <c r="F32" s="48"/>
      <c r="G32" s="48"/>
      <c r="H32" s="48"/>
    </row>
    <row r="33" spans="1:8" s="14" customFormat="1" ht="25.5">
      <c r="A33" s="31">
        <f t="shared" si="0"/>
        <v>18</v>
      </c>
      <c r="B33" s="31" t="s">
        <v>84</v>
      </c>
      <c r="C33" s="122" t="s">
        <v>49</v>
      </c>
      <c r="D33" s="85" t="s">
        <v>175</v>
      </c>
      <c r="E33" s="32">
        <v>242</v>
      </c>
      <c r="F33" s="48"/>
      <c r="G33" s="48"/>
      <c r="H33" s="48"/>
    </row>
    <row r="34" spans="1:8" s="14" customFormat="1" ht="15.75">
      <c r="A34" s="31">
        <f t="shared" si="0"/>
        <v>19</v>
      </c>
      <c r="B34" s="31" t="s">
        <v>84</v>
      </c>
      <c r="C34" s="82" t="s">
        <v>50</v>
      </c>
      <c r="D34" s="85" t="s">
        <v>175</v>
      </c>
      <c r="E34" s="32">
        <v>242</v>
      </c>
      <c r="F34" s="48"/>
      <c r="G34" s="48"/>
      <c r="H34" s="48"/>
    </row>
    <row r="35" spans="1:8" s="14" customFormat="1" ht="15.75">
      <c r="A35" s="31">
        <f t="shared" si="0"/>
        <v>20</v>
      </c>
      <c r="B35" s="31" t="s">
        <v>84</v>
      </c>
      <c r="C35" s="82" t="s">
        <v>48</v>
      </c>
      <c r="D35" s="85" t="s">
        <v>176</v>
      </c>
      <c r="E35" s="32">
        <f>E33*0.05</f>
        <v>12.100000000000001</v>
      </c>
      <c r="F35" s="48"/>
      <c r="G35" s="48"/>
      <c r="H35" s="48"/>
    </row>
    <row r="36" spans="1:8" s="14" customFormat="1" ht="15.75">
      <c r="A36" s="31">
        <f t="shared" si="0"/>
        <v>21</v>
      </c>
      <c r="B36" s="31" t="s">
        <v>84</v>
      </c>
      <c r="C36" s="82" t="s">
        <v>51</v>
      </c>
      <c r="D36" s="85" t="s">
        <v>176</v>
      </c>
      <c r="E36" s="32">
        <f>E33*0.25</f>
        <v>60.5</v>
      </c>
      <c r="F36" s="48"/>
      <c r="G36" s="48"/>
      <c r="H36" s="48"/>
    </row>
    <row r="37" spans="1:8" s="14" customFormat="1" ht="15.75">
      <c r="A37" s="33">
        <f t="shared" si="0"/>
        <v>22</v>
      </c>
      <c r="B37" s="33" t="s">
        <v>84</v>
      </c>
      <c r="C37" s="123" t="s">
        <v>65</v>
      </c>
      <c r="D37" s="102" t="s">
        <v>176</v>
      </c>
      <c r="E37" s="35">
        <f>E33*0.5</f>
        <v>121</v>
      </c>
      <c r="F37" s="48"/>
      <c r="G37" s="48"/>
      <c r="H37" s="48"/>
    </row>
    <row r="38" spans="1:8" s="14" customFormat="1" ht="25.5">
      <c r="A38" s="80"/>
      <c r="B38" s="80" t="s">
        <v>380</v>
      </c>
      <c r="C38" s="71" t="s">
        <v>30</v>
      </c>
      <c r="D38" s="80" t="s">
        <v>7</v>
      </c>
      <c r="E38" s="81">
        <v>333</v>
      </c>
      <c r="F38" s="48"/>
      <c r="G38" s="48"/>
      <c r="H38" s="48"/>
    </row>
    <row r="39" spans="1:8" s="14" customFormat="1">
      <c r="A39" s="30">
        <f>A37+1</f>
        <v>23</v>
      </c>
      <c r="B39" s="30" t="s">
        <v>84</v>
      </c>
      <c r="C39" s="57" t="s">
        <v>42</v>
      </c>
      <c r="D39" s="53" t="s">
        <v>9</v>
      </c>
      <c r="E39" s="58">
        <v>144</v>
      </c>
      <c r="F39" s="48"/>
      <c r="G39" s="48"/>
      <c r="H39" s="48"/>
    </row>
    <row r="40" spans="1:8" s="14" customFormat="1">
      <c r="A40" s="31">
        <f t="shared" si="0"/>
        <v>24</v>
      </c>
      <c r="B40" s="31" t="s">
        <v>84</v>
      </c>
      <c r="C40" s="55" t="s">
        <v>43</v>
      </c>
      <c r="D40" s="16" t="s">
        <v>9</v>
      </c>
      <c r="E40" s="52">
        <v>144</v>
      </c>
      <c r="F40" s="48"/>
      <c r="G40" s="48"/>
      <c r="H40" s="48"/>
    </row>
    <row r="41" spans="1:8" s="14" customFormat="1" ht="15.75">
      <c r="A41" s="31">
        <f t="shared" si="0"/>
        <v>25</v>
      </c>
      <c r="B41" s="31" t="s">
        <v>84</v>
      </c>
      <c r="C41" s="55" t="s">
        <v>40</v>
      </c>
      <c r="D41" s="85" t="s">
        <v>176</v>
      </c>
      <c r="E41" s="52">
        <f>E40*0.5*0.1</f>
        <v>7.2</v>
      </c>
      <c r="F41" s="48"/>
      <c r="G41" s="48"/>
      <c r="H41" s="48"/>
    </row>
    <row r="42" spans="1:8" s="14" customFormat="1" ht="15.75">
      <c r="A42" s="31">
        <f t="shared" si="0"/>
        <v>26</v>
      </c>
      <c r="B42" s="31" t="s">
        <v>84</v>
      </c>
      <c r="C42" s="55" t="s">
        <v>62</v>
      </c>
      <c r="D42" s="85" t="s">
        <v>176</v>
      </c>
      <c r="E42" s="52">
        <f>E39*0.5*0.1</f>
        <v>7.2</v>
      </c>
      <c r="F42" s="48"/>
      <c r="G42" s="175"/>
      <c r="H42" s="48"/>
    </row>
    <row r="43" spans="1:8" s="14" customFormat="1" ht="15.75">
      <c r="A43" s="31">
        <f t="shared" si="0"/>
        <v>27</v>
      </c>
      <c r="B43" s="31" t="s">
        <v>84</v>
      </c>
      <c r="C43" s="82" t="s">
        <v>64</v>
      </c>
      <c r="D43" s="85" t="s">
        <v>176</v>
      </c>
      <c r="E43" s="52">
        <f>E39*0.5*0.2</f>
        <v>14.4</v>
      </c>
      <c r="F43" s="48"/>
      <c r="G43" s="48"/>
      <c r="H43" s="48"/>
    </row>
    <row r="44" spans="1:8" s="14" customFormat="1" ht="15.75">
      <c r="A44" s="31">
        <f t="shared" si="0"/>
        <v>28</v>
      </c>
      <c r="B44" s="31" t="s">
        <v>84</v>
      </c>
      <c r="C44" s="122" t="s">
        <v>46</v>
      </c>
      <c r="D44" s="85" t="s">
        <v>175</v>
      </c>
      <c r="E44" s="32">
        <v>333</v>
      </c>
      <c r="F44" s="48"/>
      <c r="G44" s="48"/>
      <c r="H44" s="48"/>
    </row>
    <row r="45" spans="1:8" s="14" customFormat="1" ht="25.5">
      <c r="A45" s="31">
        <f t="shared" si="0"/>
        <v>29</v>
      </c>
      <c r="B45" s="31" t="s">
        <v>84</v>
      </c>
      <c r="C45" s="82" t="s">
        <v>1050</v>
      </c>
      <c r="D45" s="85" t="s">
        <v>175</v>
      </c>
      <c r="E45" s="32">
        <f>E44*0.67</f>
        <v>223.11</v>
      </c>
      <c r="F45" s="48"/>
      <c r="G45" s="48"/>
      <c r="H45" s="48"/>
    </row>
    <row r="46" spans="1:8" s="14" customFormat="1" ht="25.5">
      <c r="A46" s="31">
        <f t="shared" si="0"/>
        <v>30</v>
      </c>
      <c r="B46" s="31" t="s">
        <v>84</v>
      </c>
      <c r="C46" s="82" t="s">
        <v>47</v>
      </c>
      <c r="D46" s="85" t="s">
        <v>175</v>
      </c>
      <c r="E46" s="32">
        <f>E44*0.33</f>
        <v>109.89</v>
      </c>
      <c r="F46" s="48"/>
      <c r="G46" s="48"/>
      <c r="H46" s="48"/>
    </row>
    <row r="47" spans="1:8" s="14" customFormat="1" ht="15.75">
      <c r="A47" s="31">
        <f t="shared" si="0"/>
        <v>31</v>
      </c>
      <c r="B47" s="31" t="s">
        <v>84</v>
      </c>
      <c r="C47" s="82" t="s">
        <v>48</v>
      </c>
      <c r="D47" s="85" t="s">
        <v>176</v>
      </c>
      <c r="E47" s="32">
        <f>E44*0.05</f>
        <v>16.650000000000002</v>
      </c>
      <c r="F47" s="48"/>
      <c r="G47" s="48"/>
      <c r="H47" s="48"/>
    </row>
    <row r="48" spans="1:8" s="14" customFormat="1" ht="15.75">
      <c r="A48" s="31">
        <f t="shared" si="0"/>
        <v>32</v>
      </c>
      <c r="B48" s="31" t="s">
        <v>84</v>
      </c>
      <c r="C48" s="82" t="s">
        <v>52</v>
      </c>
      <c r="D48" s="85" t="s">
        <v>176</v>
      </c>
      <c r="E48" s="32">
        <f>E44*0.15</f>
        <v>49.949999999999996</v>
      </c>
      <c r="F48" s="48"/>
      <c r="G48" s="48"/>
      <c r="H48" s="48"/>
    </row>
    <row r="49" spans="1:8" s="14" customFormat="1" ht="15.75">
      <c r="A49" s="33">
        <f t="shared" si="0"/>
        <v>33</v>
      </c>
      <c r="B49" s="33" t="s">
        <v>84</v>
      </c>
      <c r="C49" s="123" t="s">
        <v>66</v>
      </c>
      <c r="D49" s="102" t="s">
        <v>176</v>
      </c>
      <c r="E49" s="35">
        <f>E44*0.3</f>
        <v>99.899999999999991</v>
      </c>
      <c r="F49" s="48"/>
      <c r="G49" s="48"/>
      <c r="H49" s="48"/>
    </row>
    <row r="50" spans="1:8" s="14" customFormat="1" ht="25.5">
      <c r="A50" s="118"/>
      <c r="B50" s="118" t="s">
        <v>379</v>
      </c>
      <c r="C50" s="119" t="s">
        <v>54</v>
      </c>
      <c r="D50" s="121" t="s">
        <v>175</v>
      </c>
      <c r="E50" s="120">
        <v>362</v>
      </c>
      <c r="F50" s="48"/>
      <c r="G50" s="48"/>
      <c r="H50" s="48"/>
    </row>
    <row r="51" spans="1:8" s="14" customFormat="1" ht="15.75">
      <c r="A51" s="30">
        <f>A49+1</f>
        <v>34</v>
      </c>
      <c r="B51" s="30" t="s">
        <v>84</v>
      </c>
      <c r="C51" s="57" t="s">
        <v>55</v>
      </c>
      <c r="D51" s="83" t="s">
        <v>175</v>
      </c>
      <c r="E51" s="58">
        <v>362</v>
      </c>
      <c r="F51" s="48"/>
      <c r="G51" s="48"/>
      <c r="H51" s="48"/>
    </row>
    <row r="52" spans="1:8" s="14" customFormat="1" ht="15.75">
      <c r="A52" s="7">
        <f>A51+1</f>
        <v>35</v>
      </c>
      <c r="B52" s="7"/>
      <c r="C52" s="178" t="s">
        <v>409</v>
      </c>
      <c r="D52" s="85" t="s">
        <v>176</v>
      </c>
      <c r="E52" s="63">
        <v>79.64</v>
      </c>
      <c r="F52" s="48"/>
      <c r="G52" s="48"/>
      <c r="H52" s="48"/>
    </row>
    <row r="53" spans="1:8" s="14" customFormat="1" ht="15.75">
      <c r="A53" s="7">
        <f>A52+1</f>
        <v>36</v>
      </c>
      <c r="B53" s="31" t="s">
        <v>84</v>
      </c>
      <c r="C53" s="55" t="s">
        <v>56</v>
      </c>
      <c r="D53" s="85" t="s">
        <v>175</v>
      </c>
      <c r="E53" s="52">
        <v>398.2</v>
      </c>
      <c r="F53" s="48"/>
      <c r="G53" s="48"/>
      <c r="H53" s="48"/>
    </row>
    <row r="54" spans="1:8" s="14" customFormat="1" ht="15.75">
      <c r="A54" s="7">
        <f>A53+1</f>
        <v>37</v>
      </c>
      <c r="B54" s="31" t="s">
        <v>84</v>
      </c>
      <c r="C54" s="55" t="s">
        <v>52</v>
      </c>
      <c r="D54" s="85" t="s">
        <v>176</v>
      </c>
      <c r="E54" s="52">
        <f>E50*0.15</f>
        <v>54.3</v>
      </c>
      <c r="F54" s="48"/>
      <c r="G54" s="48"/>
      <c r="H54" s="48"/>
    </row>
    <row r="55" spans="1:8" s="14" customFormat="1" ht="25.5">
      <c r="A55" s="7">
        <f>A54+1</f>
        <v>38</v>
      </c>
      <c r="B55" s="31" t="s">
        <v>84</v>
      </c>
      <c r="C55" s="55" t="s">
        <v>57</v>
      </c>
      <c r="D55" s="85" t="s">
        <v>176</v>
      </c>
      <c r="E55" s="52">
        <f>E50*0.15</f>
        <v>54.3</v>
      </c>
      <c r="F55" s="48"/>
      <c r="G55" s="48"/>
      <c r="H55" s="48"/>
    </row>
    <row r="56" spans="1:8" s="140" customFormat="1">
      <c r="A56" s="42">
        <f>A55+1</f>
        <v>39</v>
      </c>
      <c r="B56" s="42" t="s">
        <v>84</v>
      </c>
      <c r="C56" s="15" t="s">
        <v>400</v>
      </c>
      <c r="D56" s="85" t="s">
        <v>9</v>
      </c>
      <c r="E56" s="52">
        <v>41.86</v>
      </c>
      <c r="F56" s="48"/>
      <c r="G56" s="48"/>
      <c r="H56" s="48"/>
    </row>
    <row r="57" spans="1:8" s="14" customFormat="1" ht="25.5">
      <c r="A57" s="80"/>
      <c r="B57" s="80" t="s">
        <v>381</v>
      </c>
      <c r="C57" s="71" t="s">
        <v>68</v>
      </c>
      <c r="D57" s="90" t="s">
        <v>175</v>
      </c>
      <c r="E57" s="81">
        <v>860</v>
      </c>
      <c r="F57" s="48"/>
      <c r="G57" s="48"/>
      <c r="H57" s="48"/>
    </row>
    <row r="58" spans="1:8" s="14" customFormat="1" ht="15.75">
      <c r="A58" s="65">
        <f>A56+1</f>
        <v>40</v>
      </c>
      <c r="B58" s="65" t="s">
        <v>84</v>
      </c>
      <c r="C58" s="15" t="s">
        <v>58</v>
      </c>
      <c r="D58" s="89" t="s">
        <v>175</v>
      </c>
      <c r="E58" s="11">
        <v>860</v>
      </c>
      <c r="F58" s="48"/>
      <c r="G58" s="48"/>
      <c r="H58" s="48"/>
    </row>
    <row r="59" spans="1:8" s="14" customFormat="1" ht="25.5">
      <c r="A59" s="65">
        <f t="shared" si="0"/>
        <v>41</v>
      </c>
      <c r="B59" s="65" t="s">
        <v>84</v>
      </c>
      <c r="C59" s="55" t="s">
        <v>60</v>
      </c>
      <c r="D59" s="16" t="s">
        <v>11</v>
      </c>
      <c r="E59" s="52">
        <v>34.4</v>
      </c>
      <c r="F59" s="48"/>
      <c r="G59" s="48"/>
      <c r="H59" s="48"/>
    </row>
    <row r="60" spans="1:8" s="14" customFormat="1" ht="15.75">
      <c r="A60" s="65">
        <f t="shared" si="0"/>
        <v>42</v>
      </c>
      <c r="B60" s="65" t="s">
        <v>84</v>
      </c>
      <c r="C60" s="55" t="s">
        <v>59</v>
      </c>
      <c r="D60" s="102" t="s">
        <v>176</v>
      </c>
      <c r="E60" s="52">
        <v>129</v>
      </c>
      <c r="F60" s="48"/>
      <c r="G60" s="48"/>
      <c r="H60" s="48"/>
    </row>
    <row r="61" spans="1:8" s="14" customFormat="1" ht="25.5">
      <c r="A61" s="80"/>
      <c r="B61" s="80" t="s">
        <v>381</v>
      </c>
      <c r="C61" s="71" t="s">
        <v>69</v>
      </c>
      <c r="D61" s="80"/>
      <c r="E61" s="81"/>
      <c r="F61" s="48"/>
      <c r="G61" s="48"/>
      <c r="H61" s="48"/>
    </row>
    <row r="62" spans="1:8" s="14" customFormat="1">
      <c r="A62" s="30">
        <f>A60+1</f>
        <v>43</v>
      </c>
      <c r="B62" s="30" t="s">
        <v>84</v>
      </c>
      <c r="C62" s="57" t="s">
        <v>70</v>
      </c>
      <c r="D62" s="53" t="s">
        <v>222</v>
      </c>
      <c r="E62" s="58">
        <v>14</v>
      </c>
      <c r="F62" s="48"/>
      <c r="G62" s="48"/>
      <c r="H62" s="48"/>
    </row>
    <row r="63" spans="1:8" s="14" customFormat="1">
      <c r="A63" s="31">
        <f t="shared" si="0"/>
        <v>44</v>
      </c>
      <c r="B63" s="31" t="s">
        <v>84</v>
      </c>
      <c r="C63" s="15" t="s">
        <v>71</v>
      </c>
      <c r="D63" s="16" t="s">
        <v>222</v>
      </c>
      <c r="E63" s="52">
        <v>55</v>
      </c>
      <c r="F63" s="48"/>
      <c r="G63" s="48"/>
      <c r="H63" s="48"/>
    </row>
    <row r="64" spans="1:8" s="14" customFormat="1">
      <c r="A64" s="31">
        <f t="shared" si="0"/>
        <v>45</v>
      </c>
      <c r="B64" s="31" t="s">
        <v>84</v>
      </c>
      <c r="C64" s="15" t="s">
        <v>72</v>
      </c>
      <c r="D64" s="16" t="s">
        <v>90</v>
      </c>
      <c r="E64" s="52">
        <v>33</v>
      </c>
      <c r="F64" s="48"/>
      <c r="G64" s="48"/>
      <c r="H64" s="48"/>
    </row>
    <row r="65" spans="1:8" s="14" customFormat="1">
      <c r="A65" s="31">
        <f t="shared" si="0"/>
        <v>46</v>
      </c>
      <c r="B65" s="31" t="s">
        <v>84</v>
      </c>
      <c r="C65" s="15" t="s">
        <v>73</v>
      </c>
      <c r="D65" s="16" t="s">
        <v>90</v>
      </c>
      <c r="E65" s="52">
        <v>110</v>
      </c>
      <c r="F65" s="48"/>
      <c r="G65" s="48"/>
      <c r="H65" s="48"/>
    </row>
    <row r="66" spans="1:8" s="14" customFormat="1">
      <c r="A66" s="31">
        <f t="shared" si="0"/>
        <v>47</v>
      </c>
      <c r="B66" s="31" t="s">
        <v>84</v>
      </c>
      <c r="C66" s="15" t="s">
        <v>74</v>
      </c>
      <c r="D66" s="16" t="s">
        <v>90</v>
      </c>
      <c r="E66" s="52">
        <v>53</v>
      </c>
      <c r="F66" s="48"/>
      <c r="G66" s="48"/>
      <c r="H66" s="48"/>
    </row>
    <row r="67" spans="1:8" s="14" customFormat="1">
      <c r="A67" s="31">
        <f t="shared" si="0"/>
        <v>48</v>
      </c>
      <c r="B67" s="31" t="s">
        <v>84</v>
      </c>
      <c r="C67" s="15" t="s">
        <v>75</v>
      </c>
      <c r="D67" s="16" t="s">
        <v>90</v>
      </c>
      <c r="E67" s="52">
        <v>77</v>
      </c>
      <c r="F67" s="48"/>
      <c r="G67" s="48"/>
      <c r="H67" s="48"/>
    </row>
    <row r="68" spans="1:8" s="14" customFormat="1">
      <c r="A68" s="31">
        <f t="shared" si="0"/>
        <v>49</v>
      </c>
      <c r="B68" s="31" t="s">
        <v>84</v>
      </c>
      <c r="C68" s="15" t="s">
        <v>76</v>
      </c>
      <c r="D68" s="16" t="s">
        <v>90</v>
      </c>
      <c r="E68" s="52">
        <v>77</v>
      </c>
      <c r="F68" s="48"/>
      <c r="G68" s="48"/>
      <c r="H68" s="48"/>
    </row>
    <row r="69" spans="1:8" s="14" customFormat="1">
      <c r="A69" s="31">
        <f t="shared" si="0"/>
        <v>50</v>
      </c>
      <c r="B69" s="31" t="s">
        <v>84</v>
      </c>
      <c r="C69" s="15" t="s">
        <v>77</v>
      </c>
      <c r="D69" s="16" t="s">
        <v>90</v>
      </c>
      <c r="E69" s="52">
        <v>66</v>
      </c>
      <c r="F69" s="48"/>
      <c r="G69" s="48"/>
      <c r="H69" s="48"/>
    </row>
    <row r="70" spans="1:8" s="14" customFormat="1">
      <c r="A70" s="31">
        <f t="shared" si="0"/>
        <v>51</v>
      </c>
      <c r="B70" s="31" t="s">
        <v>84</v>
      </c>
      <c r="C70" s="15" t="s">
        <v>78</v>
      </c>
      <c r="D70" s="16" t="s">
        <v>90</v>
      </c>
      <c r="E70" s="52">
        <v>74</v>
      </c>
      <c r="F70" s="48"/>
      <c r="G70" s="48"/>
      <c r="H70" s="48"/>
    </row>
    <row r="71" spans="1:8" s="14" customFormat="1" ht="25.5">
      <c r="A71" s="31">
        <f t="shared" si="0"/>
        <v>52</v>
      </c>
      <c r="B71" s="31" t="s">
        <v>84</v>
      </c>
      <c r="C71" s="15" t="s">
        <v>79</v>
      </c>
      <c r="D71" s="85" t="s">
        <v>176</v>
      </c>
      <c r="E71" s="52">
        <v>25</v>
      </c>
      <c r="F71" s="48"/>
      <c r="G71" s="48"/>
      <c r="H71" s="48"/>
    </row>
    <row r="72" spans="1:8" s="14" customFormat="1" ht="15.75">
      <c r="A72" s="31">
        <f t="shared" si="0"/>
        <v>53</v>
      </c>
      <c r="B72" s="31" t="s">
        <v>84</v>
      </c>
      <c r="C72" s="15" t="s">
        <v>80</v>
      </c>
      <c r="D72" s="85" t="s">
        <v>175</v>
      </c>
      <c r="E72" s="11">
        <v>95</v>
      </c>
      <c r="F72" s="48"/>
      <c r="G72" s="48"/>
      <c r="H72" s="48"/>
    </row>
    <row r="73" spans="1:8" s="14" customFormat="1" ht="15.75">
      <c r="A73" s="31">
        <f t="shared" si="0"/>
        <v>54</v>
      </c>
      <c r="B73" s="31" t="s">
        <v>84</v>
      </c>
      <c r="C73" s="55" t="s">
        <v>81</v>
      </c>
      <c r="D73" s="85" t="s">
        <v>176</v>
      </c>
      <c r="E73" s="11">
        <v>6.65</v>
      </c>
      <c r="F73" s="48"/>
      <c r="G73" s="48"/>
      <c r="H73" s="48"/>
    </row>
    <row r="74" spans="1:8" s="14" customFormat="1">
      <c r="A74" s="31">
        <f>A73+1</f>
        <v>55</v>
      </c>
      <c r="B74" s="31" t="s">
        <v>84</v>
      </c>
      <c r="C74" s="15" t="s">
        <v>82</v>
      </c>
      <c r="D74" s="16" t="s">
        <v>90</v>
      </c>
      <c r="E74" s="11">
        <v>1</v>
      </c>
      <c r="F74" s="48"/>
      <c r="G74" s="48"/>
      <c r="H74" s="48"/>
    </row>
    <row r="75" spans="1:8" s="14" customFormat="1" ht="25.5">
      <c r="A75" s="33">
        <f>A74+1</f>
        <v>56</v>
      </c>
      <c r="B75" s="33" t="s">
        <v>84</v>
      </c>
      <c r="C75" s="73" t="s">
        <v>83</v>
      </c>
      <c r="D75" s="59" t="s">
        <v>90</v>
      </c>
      <c r="E75" s="34">
        <v>3</v>
      </c>
      <c r="F75" s="48"/>
      <c r="G75" s="48"/>
      <c r="H75" s="48"/>
    </row>
    <row r="76" spans="1:8" s="14" customFormat="1" ht="25.5">
      <c r="A76" s="80"/>
      <c r="B76" s="80" t="s">
        <v>381</v>
      </c>
      <c r="C76" s="71" t="s">
        <v>31</v>
      </c>
      <c r="D76" s="80"/>
      <c r="E76" s="81"/>
      <c r="F76" s="48"/>
      <c r="G76" s="48"/>
      <c r="H76" s="48"/>
    </row>
    <row r="77" spans="1:8" s="14" customFormat="1">
      <c r="A77" s="53">
        <f>A75+1</f>
        <v>57</v>
      </c>
      <c r="B77" s="53"/>
      <c r="C77" s="166" t="s">
        <v>401</v>
      </c>
      <c r="D77" s="53" t="s">
        <v>8</v>
      </c>
      <c r="E77" s="58">
        <v>7</v>
      </c>
      <c r="F77" s="48"/>
      <c r="G77" s="48"/>
      <c r="H77" s="48"/>
    </row>
    <row r="78" spans="1:8" s="14" customFormat="1">
      <c r="A78" s="16">
        <f>A77+1</f>
        <v>58</v>
      </c>
      <c r="B78" s="16"/>
      <c r="C78" s="55" t="s">
        <v>402</v>
      </c>
      <c r="D78" s="16" t="s">
        <v>10</v>
      </c>
      <c r="E78" s="52">
        <v>30.15</v>
      </c>
      <c r="F78" s="48"/>
      <c r="G78" s="48"/>
      <c r="H78" s="48"/>
    </row>
    <row r="79" spans="1:8" s="14" customFormat="1">
      <c r="A79" s="16">
        <f>A78+1</f>
        <v>59</v>
      </c>
      <c r="B79" s="16"/>
      <c r="C79" s="55" t="s">
        <v>403</v>
      </c>
      <c r="D79" s="16" t="s">
        <v>11</v>
      </c>
      <c r="E79" s="52">
        <v>477</v>
      </c>
      <c r="F79" s="48"/>
      <c r="G79" s="48"/>
      <c r="H79" s="48"/>
    </row>
    <row r="80" spans="1:8" s="14" customFormat="1">
      <c r="A80" s="16">
        <f t="shared" ref="A80:A87" si="1">A79+1</f>
        <v>60</v>
      </c>
      <c r="B80" s="16"/>
      <c r="C80" s="55" t="s">
        <v>404</v>
      </c>
      <c r="D80" s="16" t="s">
        <v>9</v>
      </c>
      <c r="E80" s="52">
        <v>211</v>
      </c>
      <c r="F80" s="48"/>
      <c r="G80" s="48"/>
      <c r="H80" s="48"/>
    </row>
    <row r="81" spans="1:8" s="14" customFormat="1" ht="15.75">
      <c r="A81" s="16">
        <f t="shared" si="1"/>
        <v>61</v>
      </c>
      <c r="B81" s="16"/>
      <c r="C81" s="55" t="s">
        <v>405</v>
      </c>
      <c r="D81" s="85" t="s">
        <v>175</v>
      </c>
      <c r="E81" s="52">
        <v>22.53</v>
      </c>
      <c r="F81" s="48"/>
      <c r="G81" s="48"/>
      <c r="H81" s="48"/>
    </row>
    <row r="82" spans="1:8" s="14" customFormat="1" ht="25.5">
      <c r="A82" s="16">
        <f t="shared" si="1"/>
        <v>62</v>
      </c>
      <c r="B82" s="16"/>
      <c r="C82" s="55" t="s">
        <v>406</v>
      </c>
      <c r="D82" s="16" t="s">
        <v>8</v>
      </c>
      <c r="E82" s="52">
        <v>1</v>
      </c>
      <c r="F82" s="48"/>
      <c r="G82" s="48"/>
      <c r="H82" s="48"/>
    </row>
    <row r="83" spans="1:8" s="14" customFormat="1" ht="15.75">
      <c r="A83" s="16">
        <f t="shared" si="1"/>
        <v>63</v>
      </c>
      <c r="B83" s="16"/>
      <c r="C83" s="55" t="s">
        <v>407</v>
      </c>
      <c r="D83" s="85" t="s">
        <v>176</v>
      </c>
      <c r="E83" s="52">
        <v>4.5</v>
      </c>
      <c r="F83" s="48"/>
      <c r="G83" s="48"/>
      <c r="H83" s="48"/>
    </row>
    <row r="84" spans="1:8" s="14" customFormat="1" ht="25.5">
      <c r="A84" s="16">
        <f t="shared" si="1"/>
        <v>64</v>
      </c>
      <c r="B84" s="16"/>
      <c r="C84" s="55" t="s">
        <v>57</v>
      </c>
      <c r="D84" s="85" t="s">
        <v>176</v>
      </c>
      <c r="E84" s="52">
        <v>4.5</v>
      </c>
      <c r="F84" s="48"/>
      <c r="G84" s="48"/>
      <c r="H84" s="48"/>
    </row>
    <row r="85" spans="1:8" s="140" customFormat="1" ht="51">
      <c r="A85" s="16">
        <f t="shared" si="1"/>
        <v>65</v>
      </c>
      <c r="B85" s="42" t="s">
        <v>84</v>
      </c>
      <c r="C85" s="54" t="s">
        <v>1081</v>
      </c>
      <c r="D85" s="16" t="s">
        <v>90</v>
      </c>
      <c r="E85" s="52">
        <v>12</v>
      </c>
      <c r="F85" s="48"/>
      <c r="G85" s="48"/>
      <c r="H85" s="48"/>
    </row>
    <row r="86" spans="1:8" s="140" customFormat="1" ht="25.5">
      <c r="A86" s="16">
        <f t="shared" si="1"/>
        <v>66</v>
      </c>
      <c r="B86" s="42" t="s">
        <v>84</v>
      </c>
      <c r="C86" s="54" t="s">
        <v>1236</v>
      </c>
      <c r="D86" s="16" t="s">
        <v>90</v>
      </c>
      <c r="E86" s="52">
        <v>2</v>
      </c>
      <c r="F86" s="48"/>
      <c r="G86" s="48"/>
      <c r="H86" s="48"/>
    </row>
    <row r="87" spans="1:8" s="140" customFormat="1" ht="51">
      <c r="A87" s="16">
        <f t="shared" si="1"/>
        <v>67</v>
      </c>
      <c r="B87" s="42" t="s">
        <v>84</v>
      </c>
      <c r="C87" s="54" t="s">
        <v>414</v>
      </c>
      <c r="D87" s="16" t="s">
        <v>90</v>
      </c>
      <c r="E87" s="52">
        <v>3</v>
      </c>
      <c r="F87" s="48"/>
      <c r="G87" s="48"/>
      <c r="H87" s="48"/>
    </row>
    <row r="88" spans="1:8" s="14" customFormat="1" ht="25.5">
      <c r="A88" s="80"/>
      <c r="B88" s="80" t="s">
        <v>380</v>
      </c>
      <c r="C88" s="71" t="s">
        <v>53</v>
      </c>
      <c r="D88" s="80"/>
      <c r="E88" s="81"/>
      <c r="F88" s="48"/>
      <c r="G88" s="48"/>
      <c r="H88" s="48"/>
    </row>
    <row r="89" spans="1:8" s="14" customFormat="1">
      <c r="A89" s="65">
        <f>A87+1</f>
        <v>68</v>
      </c>
      <c r="B89" s="65" t="s">
        <v>84</v>
      </c>
      <c r="C89" s="54" t="s">
        <v>1237</v>
      </c>
      <c r="D89" s="16" t="s">
        <v>90</v>
      </c>
      <c r="E89" s="52">
        <v>1</v>
      </c>
      <c r="F89" s="48"/>
      <c r="G89" s="48"/>
      <c r="H89" s="48"/>
    </row>
    <row r="90" spans="1:8" s="14" customFormat="1">
      <c r="A90" s="65">
        <f t="shared" si="0"/>
        <v>69</v>
      </c>
      <c r="B90" s="65" t="s">
        <v>84</v>
      </c>
      <c r="C90" s="54" t="s">
        <v>34</v>
      </c>
      <c r="D90" s="16" t="s">
        <v>90</v>
      </c>
      <c r="E90" s="52">
        <v>1</v>
      </c>
      <c r="F90" s="48"/>
      <c r="G90" s="48"/>
      <c r="H90" s="48"/>
    </row>
    <row r="91" spans="1:8" s="14" customFormat="1">
      <c r="A91" s="65">
        <f>A90+1</f>
        <v>70</v>
      </c>
      <c r="B91" s="65" t="s">
        <v>84</v>
      </c>
      <c r="C91" s="54" t="s">
        <v>35</v>
      </c>
      <c r="D91" s="16" t="s">
        <v>90</v>
      </c>
      <c r="E91" s="11">
        <v>1</v>
      </c>
      <c r="F91" s="48"/>
      <c r="G91" s="48"/>
      <c r="H91" s="48"/>
    </row>
    <row r="92" spans="1:8" s="14" customFormat="1">
      <c r="A92" s="65">
        <f>A91+1</f>
        <v>71</v>
      </c>
      <c r="B92" s="65" t="s">
        <v>84</v>
      </c>
      <c r="C92" s="54" t="s">
        <v>367</v>
      </c>
      <c r="D92" s="16" t="s">
        <v>90</v>
      </c>
      <c r="E92" s="52">
        <v>1</v>
      </c>
      <c r="F92" s="48"/>
      <c r="G92" s="48"/>
      <c r="H92" s="48"/>
    </row>
    <row r="93" spans="1:8" s="14" customFormat="1">
      <c r="A93" s="65">
        <f>A92+1</f>
        <v>72</v>
      </c>
      <c r="B93" s="65" t="s">
        <v>84</v>
      </c>
      <c r="C93" s="54" t="s">
        <v>36</v>
      </c>
      <c r="D93" s="16" t="s">
        <v>90</v>
      </c>
      <c r="E93" s="11">
        <v>1</v>
      </c>
      <c r="F93" s="48"/>
      <c r="G93" s="48"/>
      <c r="H93" s="48"/>
    </row>
    <row r="94" spans="1:8" s="14" customFormat="1">
      <c r="A94" s="65">
        <f>A93+1</f>
        <v>73</v>
      </c>
      <c r="B94" s="65" t="s">
        <v>84</v>
      </c>
      <c r="C94" s="54" t="s">
        <v>37</v>
      </c>
      <c r="D94" s="16" t="s">
        <v>90</v>
      </c>
      <c r="E94" s="11">
        <v>2</v>
      </c>
      <c r="F94" s="48"/>
      <c r="G94" s="48"/>
      <c r="H94" s="48"/>
    </row>
    <row r="95" spans="1:8" s="3" customFormat="1">
      <c r="A95" s="36"/>
      <c r="B95" s="36"/>
      <c r="C95" s="37" t="s">
        <v>0</v>
      </c>
      <c r="D95" s="38"/>
      <c r="E95" s="39"/>
      <c r="F95" s="2"/>
      <c r="G95" s="2"/>
    </row>
    <row r="96" spans="1:8" s="21" customFormat="1">
      <c r="A96" s="19"/>
      <c r="B96" s="19"/>
      <c r="C96" s="20"/>
    </row>
    <row r="97" spans="1:7">
      <c r="A97" s="22"/>
      <c r="B97" s="6"/>
      <c r="C97" s="20"/>
      <c r="D97" s="20"/>
      <c r="E97" s="255"/>
      <c r="F97" s="216"/>
      <c r="G97" s="215"/>
    </row>
    <row r="98" spans="1:7">
      <c r="A98" s="331" t="s">
        <v>14</v>
      </c>
      <c r="B98" s="331"/>
      <c r="C98" s="275" t="s">
        <v>1082</v>
      </c>
      <c r="D98" s="20"/>
      <c r="E98" s="255"/>
      <c r="F98" s="218"/>
      <c r="G98" s="217"/>
    </row>
    <row r="99" spans="1:7">
      <c r="B99" s="6"/>
      <c r="C99" s="74" t="s">
        <v>15</v>
      </c>
      <c r="D99" s="20"/>
      <c r="E99" s="255"/>
      <c r="F99" s="220"/>
      <c r="G99" s="217"/>
    </row>
    <row r="100" spans="1:7">
      <c r="B100" s="6"/>
      <c r="C100" s="238" t="s">
        <v>21</v>
      </c>
      <c r="D100" s="20"/>
      <c r="E100" s="255"/>
      <c r="F100" s="215"/>
      <c r="G100" s="215"/>
    </row>
    <row r="101" spans="1:7">
      <c r="B101" s="6"/>
      <c r="C101" s="6" t="s">
        <v>1086</v>
      </c>
      <c r="D101" s="20"/>
      <c r="E101" s="255"/>
      <c r="F101" s="215"/>
      <c r="G101" s="215"/>
    </row>
  </sheetData>
  <mergeCells count="8">
    <mergeCell ref="A98:B98"/>
    <mergeCell ref="A1:E1"/>
    <mergeCell ref="A2:E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76"/>
  <sheetViews>
    <sheetView view="pageBreakPreview" topLeftCell="A138" zoomScaleNormal="238" zoomScaleSheetLayoutView="100" workbookViewId="0">
      <selection activeCell="C138" sqref="C138"/>
    </sheetView>
  </sheetViews>
  <sheetFormatPr defaultColWidth="5.5703125" defaultRowHeight="12.75"/>
  <cols>
    <col min="1" max="2" width="6.42578125" style="25" customWidth="1"/>
    <col min="3" max="3" width="38.5703125" style="25" customWidth="1"/>
    <col min="4" max="4" width="6.42578125" style="25" customWidth="1"/>
    <col min="5" max="5" width="9.42578125" style="256" customWidth="1"/>
    <col min="6" max="6" width="6.7109375" style="25" customWidth="1"/>
    <col min="7" max="16384" width="5.5703125" style="25"/>
  </cols>
  <sheetData>
    <row r="1" spans="1:6" s="3" customFormat="1">
      <c r="A1" s="332" t="s">
        <v>1090</v>
      </c>
      <c r="B1" s="332"/>
      <c r="C1" s="332"/>
      <c r="D1" s="332"/>
      <c r="E1" s="332"/>
    </row>
    <row r="2" spans="1:6" s="3" customFormat="1">
      <c r="A2" s="333" t="s">
        <v>16</v>
      </c>
      <c r="B2" s="333"/>
      <c r="C2" s="333"/>
      <c r="D2" s="333"/>
      <c r="E2" s="333"/>
    </row>
    <row r="3" spans="1:6" s="3" customFormat="1">
      <c r="A3" s="4"/>
      <c r="B3" s="4"/>
      <c r="C3" s="2"/>
      <c r="D3" s="5"/>
      <c r="E3" s="246"/>
    </row>
    <row r="4" spans="1:6" s="3" customFormat="1">
      <c r="A4" s="4" t="s">
        <v>19</v>
      </c>
      <c r="B4" s="4"/>
      <c r="C4" s="2"/>
      <c r="D4" s="5"/>
      <c r="E4" s="246"/>
    </row>
    <row r="5" spans="1:6" s="3" customFormat="1">
      <c r="A5" s="4" t="s">
        <v>13</v>
      </c>
      <c r="B5" s="4"/>
      <c r="C5" s="2"/>
      <c r="D5" s="5"/>
      <c r="E5" s="246"/>
    </row>
    <row r="6" spans="1:6" s="3" customFormat="1">
      <c r="A6" s="4" t="s">
        <v>18</v>
      </c>
      <c r="B6" s="4"/>
      <c r="C6" s="2"/>
      <c r="D6" s="5"/>
      <c r="E6" s="246"/>
    </row>
    <row r="7" spans="1:6" s="3" customFormat="1">
      <c r="A7" s="4" t="s">
        <v>1083</v>
      </c>
      <c r="B7" s="4"/>
      <c r="C7" s="2"/>
      <c r="D7" s="5"/>
      <c r="E7" s="246"/>
    </row>
    <row r="8" spans="1:6" s="3" customFormat="1">
      <c r="A8" s="3" t="s">
        <v>12</v>
      </c>
      <c r="C8" s="6"/>
      <c r="D8" s="5"/>
      <c r="E8" s="246"/>
    </row>
    <row r="9" spans="1:6" s="3" customFormat="1">
      <c r="A9" s="3" t="s">
        <v>17</v>
      </c>
      <c r="C9" s="6"/>
      <c r="D9" s="5"/>
      <c r="E9" s="246"/>
    </row>
    <row r="10" spans="1:6" s="3" customFormat="1">
      <c r="A10" s="4"/>
      <c r="B10" s="4"/>
      <c r="C10" s="4"/>
      <c r="D10" s="2"/>
      <c r="E10" s="246"/>
    </row>
    <row r="11" spans="1:6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7" t="s">
        <v>2</v>
      </c>
    </row>
    <row r="12" spans="1:6" s="3" customFormat="1" ht="55.5" customHeight="1">
      <c r="A12" s="335"/>
      <c r="B12" s="335"/>
      <c r="C12" s="335"/>
      <c r="D12" s="335"/>
      <c r="E12" s="337"/>
    </row>
    <row r="13" spans="1:6" s="140" customFormat="1" ht="25.5">
      <c r="A13" s="76"/>
      <c r="B13" s="76" t="s">
        <v>379</v>
      </c>
      <c r="C13" s="77" t="s">
        <v>482</v>
      </c>
      <c r="D13" s="78"/>
      <c r="E13" s="247"/>
    </row>
    <row r="14" spans="1:6" s="14" customFormat="1" ht="15.75">
      <c r="A14" s="7">
        <v>1</v>
      </c>
      <c r="B14" s="65"/>
      <c r="C14" s="61" t="s">
        <v>990</v>
      </c>
      <c r="D14" s="85" t="s">
        <v>493</v>
      </c>
      <c r="E14" s="248">
        <f>4*1+0.342</f>
        <v>4.3419999999999996</v>
      </c>
      <c r="F14" s="48"/>
    </row>
    <row r="15" spans="1:6" s="14" customFormat="1" ht="15.75">
      <c r="A15" s="7">
        <f>A14+1</f>
        <v>2</v>
      </c>
      <c r="B15" s="65"/>
      <c r="C15" s="178" t="s">
        <v>409</v>
      </c>
      <c r="D15" s="85" t="s">
        <v>493</v>
      </c>
      <c r="E15" s="248">
        <f>E14</f>
        <v>4.3419999999999996</v>
      </c>
      <c r="F15" s="48"/>
    </row>
    <row r="16" spans="1:6" s="14" customFormat="1">
      <c r="A16" s="7">
        <f t="shared" ref="A16:A79" si="0">A15+1</f>
        <v>3</v>
      </c>
      <c r="B16" s="65"/>
      <c r="C16" s="178" t="s">
        <v>996</v>
      </c>
      <c r="D16" s="85" t="s">
        <v>9</v>
      </c>
      <c r="E16" s="248">
        <f>626372/1000</f>
        <v>626.37199999999996</v>
      </c>
      <c r="F16" s="48"/>
    </row>
    <row r="17" spans="1:6" s="14" customFormat="1" ht="15.75">
      <c r="A17" s="7">
        <f t="shared" si="0"/>
        <v>4</v>
      </c>
      <c r="B17" s="65"/>
      <c r="C17" s="61" t="s">
        <v>989</v>
      </c>
      <c r="D17" s="85" t="s">
        <v>493</v>
      </c>
      <c r="E17" s="248">
        <f>3*0.588+1.3</f>
        <v>3.0640000000000001</v>
      </c>
      <c r="F17" s="48"/>
    </row>
    <row r="18" spans="1:6" s="14" customFormat="1" ht="15.75">
      <c r="A18" s="7">
        <f t="shared" si="0"/>
        <v>5</v>
      </c>
      <c r="B18" s="65"/>
      <c r="C18" s="178" t="s">
        <v>409</v>
      </c>
      <c r="D18" s="85" t="s">
        <v>493</v>
      </c>
      <c r="E18" s="248">
        <f>E17</f>
        <v>3.0640000000000001</v>
      </c>
      <c r="F18" s="48"/>
    </row>
    <row r="19" spans="1:6" s="14" customFormat="1">
      <c r="A19" s="7">
        <f t="shared" si="0"/>
        <v>6</v>
      </c>
      <c r="B19" s="65"/>
      <c r="C19" s="178" t="s">
        <v>995</v>
      </c>
      <c r="D19" s="85" t="s">
        <v>9</v>
      </c>
      <c r="E19" s="248">
        <f>451043/1000</f>
        <v>451.04300000000001</v>
      </c>
      <c r="F19" s="48"/>
    </row>
    <row r="20" spans="1:6" s="14" customFormat="1" ht="15.75">
      <c r="A20" s="7">
        <f t="shared" si="0"/>
        <v>7</v>
      </c>
      <c r="B20" s="65"/>
      <c r="C20" s="61" t="s">
        <v>991</v>
      </c>
      <c r="D20" s="85" t="s">
        <v>493</v>
      </c>
      <c r="E20" s="248">
        <f>31.845+9.5</f>
        <v>41.344999999999999</v>
      </c>
      <c r="F20" s="48"/>
    </row>
    <row r="21" spans="1:6" s="14" customFormat="1" ht="15.75">
      <c r="A21" s="7">
        <f t="shared" si="0"/>
        <v>8</v>
      </c>
      <c r="B21" s="65"/>
      <c r="C21" s="178" t="s">
        <v>409</v>
      </c>
      <c r="D21" s="85" t="s">
        <v>493</v>
      </c>
      <c r="E21" s="248">
        <f>E20</f>
        <v>41.344999999999999</v>
      </c>
      <c r="F21" s="48"/>
    </row>
    <row r="22" spans="1:6" s="14" customFormat="1">
      <c r="A22" s="7">
        <f t="shared" si="0"/>
        <v>9</v>
      </c>
      <c r="B22" s="65"/>
      <c r="C22" s="178" t="s">
        <v>997</v>
      </c>
      <c r="D22" s="85" t="s">
        <v>9</v>
      </c>
      <c r="E22" s="248">
        <f>5655621/1000</f>
        <v>5655.6210000000001</v>
      </c>
      <c r="F22" s="48"/>
    </row>
    <row r="23" spans="1:6" s="14" customFormat="1">
      <c r="A23" s="7">
        <f t="shared" si="0"/>
        <v>10</v>
      </c>
      <c r="B23" s="65"/>
      <c r="C23" s="178" t="s">
        <v>998</v>
      </c>
      <c r="D23" s="85" t="s">
        <v>9</v>
      </c>
      <c r="E23" s="248">
        <f>8224565/1000</f>
        <v>8224.5650000000005</v>
      </c>
      <c r="F23" s="48"/>
    </row>
    <row r="24" spans="1:6" s="14" customFormat="1" ht="15.75">
      <c r="A24" s="7">
        <f t="shared" si="0"/>
        <v>11</v>
      </c>
      <c r="B24" s="65"/>
      <c r="C24" s="61" t="s">
        <v>992</v>
      </c>
      <c r="D24" s="85" t="s">
        <v>493</v>
      </c>
      <c r="E24" s="248">
        <f>4.345+1.5</f>
        <v>5.8449999999999998</v>
      </c>
      <c r="F24" s="48"/>
    </row>
    <row r="25" spans="1:6" s="14" customFormat="1" ht="15.75">
      <c r="A25" s="7">
        <f t="shared" si="0"/>
        <v>12</v>
      </c>
      <c r="B25" s="65"/>
      <c r="C25" s="178" t="s">
        <v>409</v>
      </c>
      <c r="D25" s="85" t="s">
        <v>493</v>
      </c>
      <c r="E25" s="248">
        <f>E24</f>
        <v>5.8449999999999998</v>
      </c>
      <c r="F25" s="48"/>
    </row>
    <row r="26" spans="1:6" s="14" customFormat="1">
      <c r="A26" s="7">
        <f t="shared" si="0"/>
        <v>13</v>
      </c>
      <c r="B26" s="65"/>
      <c r="C26" s="178" t="s">
        <v>998</v>
      </c>
      <c r="D26" s="85" t="s">
        <v>9</v>
      </c>
      <c r="E26" s="248">
        <f>236700/1000</f>
        <v>236.7</v>
      </c>
      <c r="F26" s="48"/>
    </row>
    <row r="27" spans="1:6" s="14" customFormat="1" ht="15.75">
      <c r="A27" s="7">
        <f t="shared" si="0"/>
        <v>14</v>
      </c>
      <c r="B27" s="65"/>
      <c r="C27" s="61" t="s">
        <v>993</v>
      </c>
      <c r="D27" s="85" t="s">
        <v>176</v>
      </c>
      <c r="E27" s="248">
        <v>62.627000000000002</v>
      </c>
      <c r="F27" s="48"/>
    </row>
    <row r="28" spans="1:6" s="14" customFormat="1" ht="15.75">
      <c r="A28" s="7">
        <f t="shared" si="0"/>
        <v>15</v>
      </c>
      <c r="B28" s="65"/>
      <c r="C28" s="179" t="s">
        <v>409</v>
      </c>
      <c r="D28" s="85" t="s">
        <v>176</v>
      </c>
      <c r="E28" s="248">
        <v>62.63</v>
      </c>
      <c r="F28" s="48"/>
    </row>
    <row r="29" spans="1:6" s="14" customFormat="1">
      <c r="A29" s="7">
        <f t="shared" si="0"/>
        <v>16</v>
      </c>
      <c r="B29" s="65"/>
      <c r="C29" s="179" t="s">
        <v>1000</v>
      </c>
      <c r="D29" s="85" t="s">
        <v>9</v>
      </c>
      <c r="E29" s="248">
        <f>1849014/1000</f>
        <v>1849.0139999999999</v>
      </c>
      <c r="F29" s="48"/>
    </row>
    <row r="30" spans="1:6" s="14" customFormat="1" ht="25.5">
      <c r="A30" s="76"/>
      <c r="B30" s="76" t="s">
        <v>379</v>
      </c>
      <c r="C30" s="77" t="s">
        <v>484</v>
      </c>
      <c r="D30" s="78"/>
      <c r="E30" s="247"/>
      <c r="F30" s="48"/>
    </row>
    <row r="31" spans="1:6" s="14" customFormat="1" ht="15.75">
      <c r="A31" s="7">
        <f>A29+1</f>
        <v>17</v>
      </c>
      <c r="B31" s="65"/>
      <c r="C31" s="15" t="s">
        <v>999</v>
      </c>
      <c r="D31" s="85" t="s">
        <v>176</v>
      </c>
      <c r="E31" s="248">
        <v>15.6</v>
      </c>
      <c r="F31" s="48"/>
    </row>
    <row r="32" spans="1:6" s="14" customFormat="1" ht="15.75">
      <c r="A32" s="7">
        <f t="shared" si="0"/>
        <v>18</v>
      </c>
      <c r="B32" s="65"/>
      <c r="C32" s="178" t="s">
        <v>409</v>
      </c>
      <c r="D32" s="85" t="s">
        <v>176</v>
      </c>
      <c r="E32" s="250">
        <f>E31</f>
        <v>15.6</v>
      </c>
      <c r="F32" s="48"/>
    </row>
    <row r="33" spans="1:6" s="14" customFormat="1">
      <c r="A33" s="7">
        <f t="shared" si="0"/>
        <v>19</v>
      </c>
      <c r="B33" s="65"/>
      <c r="C33" s="178" t="s">
        <v>699</v>
      </c>
      <c r="D33" s="85" t="s">
        <v>9</v>
      </c>
      <c r="E33" s="250">
        <f>1395020/1000</f>
        <v>1395.02</v>
      </c>
      <c r="F33" s="48"/>
    </row>
    <row r="34" spans="1:6" s="14" customFormat="1" ht="15.75">
      <c r="A34" s="7">
        <f t="shared" si="0"/>
        <v>20</v>
      </c>
      <c r="B34" s="65"/>
      <c r="C34" s="15" t="s">
        <v>1001</v>
      </c>
      <c r="D34" s="85" t="s">
        <v>176</v>
      </c>
      <c r="E34" s="250">
        <v>7.5</v>
      </c>
      <c r="F34" s="48"/>
    </row>
    <row r="35" spans="1:6" s="14" customFormat="1" ht="15.75">
      <c r="A35" s="7">
        <f t="shared" si="0"/>
        <v>21</v>
      </c>
      <c r="B35" s="65"/>
      <c r="C35" s="178" t="s">
        <v>409</v>
      </c>
      <c r="D35" s="85" t="s">
        <v>176</v>
      </c>
      <c r="E35" s="250">
        <f>E34</f>
        <v>7.5</v>
      </c>
      <c r="F35" s="48"/>
    </row>
    <row r="36" spans="1:6" s="14" customFormat="1">
      <c r="A36" s="7">
        <f t="shared" si="0"/>
        <v>22</v>
      </c>
      <c r="B36" s="65"/>
      <c r="C36" s="178" t="s">
        <v>699</v>
      </c>
      <c r="D36" s="85" t="s">
        <v>9</v>
      </c>
      <c r="E36" s="250">
        <f>605673/1000</f>
        <v>605.673</v>
      </c>
      <c r="F36" s="48"/>
    </row>
    <row r="37" spans="1:6" s="14" customFormat="1" ht="15.75">
      <c r="A37" s="7">
        <f t="shared" si="0"/>
        <v>23</v>
      </c>
      <c r="B37" s="65"/>
      <c r="C37" s="15" t="s">
        <v>1002</v>
      </c>
      <c r="D37" s="85" t="s">
        <v>176</v>
      </c>
      <c r="E37" s="250">
        <v>2.8</v>
      </c>
      <c r="F37" s="48"/>
    </row>
    <row r="38" spans="1:6" s="14" customFormat="1" ht="15.75">
      <c r="A38" s="7">
        <f t="shared" si="0"/>
        <v>24</v>
      </c>
      <c r="B38" s="65"/>
      <c r="C38" s="178" t="s">
        <v>409</v>
      </c>
      <c r="D38" s="85" t="s">
        <v>176</v>
      </c>
      <c r="E38" s="250">
        <f>E37</f>
        <v>2.8</v>
      </c>
      <c r="F38" s="48"/>
    </row>
    <row r="39" spans="1:6" s="14" customFormat="1">
      <c r="A39" s="7">
        <f t="shared" si="0"/>
        <v>25</v>
      </c>
      <c r="B39" s="65"/>
      <c r="C39" s="178" t="s">
        <v>699</v>
      </c>
      <c r="D39" s="85" t="s">
        <v>9</v>
      </c>
      <c r="E39" s="250">
        <f>224028/1000</f>
        <v>224.02799999999999</v>
      </c>
      <c r="F39" s="48"/>
    </row>
    <row r="40" spans="1:6" s="14" customFormat="1" ht="15.75">
      <c r="A40" s="7">
        <f t="shared" si="0"/>
        <v>26</v>
      </c>
      <c r="B40" s="65"/>
      <c r="C40" s="15" t="s">
        <v>1003</v>
      </c>
      <c r="D40" s="85" t="s">
        <v>176</v>
      </c>
      <c r="E40" s="250">
        <v>3.8</v>
      </c>
      <c r="F40" s="48"/>
    </row>
    <row r="41" spans="1:6" s="14" customFormat="1" ht="15.75">
      <c r="A41" s="7">
        <f t="shared" si="0"/>
        <v>27</v>
      </c>
      <c r="B41" s="65"/>
      <c r="C41" s="178" t="s">
        <v>409</v>
      </c>
      <c r="D41" s="85" t="s">
        <v>176</v>
      </c>
      <c r="E41" s="250">
        <f>E40</f>
        <v>3.8</v>
      </c>
      <c r="F41" s="48"/>
    </row>
    <row r="42" spans="1:6" s="14" customFormat="1">
      <c r="A42" s="7">
        <f t="shared" si="0"/>
        <v>28</v>
      </c>
      <c r="B42" s="65"/>
      <c r="C42" s="178" t="s">
        <v>699</v>
      </c>
      <c r="D42" s="85" t="s">
        <v>9</v>
      </c>
      <c r="E42" s="250">
        <f>360200/1000</f>
        <v>360.2</v>
      </c>
      <c r="F42" s="48"/>
    </row>
    <row r="43" spans="1:6" s="14" customFormat="1" ht="15.75">
      <c r="A43" s="7">
        <f t="shared" si="0"/>
        <v>29</v>
      </c>
      <c r="B43" s="65"/>
      <c r="C43" s="15" t="s">
        <v>1004</v>
      </c>
      <c r="D43" s="85" t="s">
        <v>176</v>
      </c>
      <c r="E43" s="250">
        <v>9.6999999999999993</v>
      </c>
      <c r="F43" s="48"/>
    </row>
    <row r="44" spans="1:6" s="14" customFormat="1" ht="15.75">
      <c r="A44" s="7">
        <f t="shared" si="0"/>
        <v>30</v>
      </c>
      <c r="B44" s="65"/>
      <c r="C44" s="178" t="s">
        <v>409</v>
      </c>
      <c r="D44" s="85" t="s">
        <v>176</v>
      </c>
      <c r="E44" s="250">
        <f>E43</f>
        <v>9.6999999999999993</v>
      </c>
      <c r="F44" s="48"/>
    </row>
    <row r="45" spans="1:6" s="14" customFormat="1">
      <c r="A45" s="7">
        <f t="shared" si="0"/>
        <v>31</v>
      </c>
      <c r="B45" s="65"/>
      <c r="C45" s="178" t="s">
        <v>699</v>
      </c>
      <c r="D45" s="85" t="s">
        <v>9</v>
      </c>
      <c r="E45" s="250">
        <f>1296193/1000</f>
        <v>1296.193</v>
      </c>
      <c r="F45" s="48"/>
    </row>
    <row r="46" spans="1:6" s="14" customFormat="1" ht="15.75">
      <c r="A46" s="7">
        <f t="shared" si="0"/>
        <v>32</v>
      </c>
      <c r="B46" s="65"/>
      <c r="C46" s="15" t="s">
        <v>1005</v>
      </c>
      <c r="D46" s="85" t="s">
        <v>176</v>
      </c>
      <c r="E46" s="250">
        <v>9.4</v>
      </c>
      <c r="F46" s="48"/>
    </row>
    <row r="47" spans="1:6" s="14" customFormat="1" ht="15.75">
      <c r="A47" s="7">
        <f t="shared" si="0"/>
        <v>33</v>
      </c>
      <c r="B47" s="65"/>
      <c r="C47" s="178" t="s">
        <v>409</v>
      </c>
      <c r="D47" s="85" t="s">
        <v>176</v>
      </c>
      <c r="E47" s="250">
        <f>E46</f>
        <v>9.4</v>
      </c>
      <c r="F47" s="48"/>
    </row>
    <row r="48" spans="1:6" s="14" customFormat="1">
      <c r="A48" s="7">
        <f t="shared" si="0"/>
        <v>34</v>
      </c>
      <c r="B48" s="65"/>
      <c r="C48" s="178" t="s">
        <v>699</v>
      </c>
      <c r="D48" s="85" t="s">
        <v>9</v>
      </c>
      <c r="E48" s="250">
        <f>909112/1000</f>
        <v>909.11199999999997</v>
      </c>
      <c r="F48" s="48"/>
    </row>
    <row r="49" spans="1:6" s="14" customFormat="1" ht="15.75">
      <c r="A49" s="7">
        <f t="shared" si="0"/>
        <v>35</v>
      </c>
      <c r="B49" s="65"/>
      <c r="C49" s="15" t="s">
        <v>1006</v>
      </c>
      <c r="D49" s="85" t="s">
        <v>176</v>
      </c>
      <c r="E49" s="250">
        <v>2.1</v>
      </c>
      <c r="F49" s="48"/>
    </row>
    <row r="50" spans="1:6" s="14" customFormat="1" ht="15.75">
      <c r="A50" s="7">
        <f t="shared" si="0"/>
        <v>36</v>
      </c>
      <c r="B50" s="65"/>
      <c r="C50" s="178" t="s">
        <v>409</v>
      </c>
      <c r="D50" s="85" t="s">
        <v>176</v>
      </c>
      <c r="E50" s="250">
        <f>E49</f>
        <v>2.1</v>
      </c>
      <c r="F50" s="48"/>
    </row>
    <row r="51" spans="1:6" s="14" customFormat="1">
      <c r="A51" s="7">
        <f t="shared" si="0"/>
        <v>37</v>
      </c>
      <c r="B51" s="65"/>
      <c r="C51" s="178" t="s">
        <v>699</v>
      </c>
      <c r="D51" s="85" t="s">
        <v>9</v>
      </c>
      <c r="E51" s="250">
        <f>549947/1000</f>
        <v>549.947</v>
      </c>
      <c r="F51" s="48"/>
    </row>
    <row r="52" spans="1:6" s="14" customFormat="1" ht="15.75">
      <c r="A52" s="7">
        <f t="shared" si="0"/>
        <v>38</v>
      </c>
      <c r="B52" s="65"/>
      <c r="C52" s="15" t="s">
        <v>1007</v>
      </c>
      <c r="D52" s="85" t="s">
        <v>176</v>
      </c>
      <c r="E52" s="250">
        <v>3.4</v>
      </c>
      <c r="F52" s="48"/>
    </row>
    <row r="53" spans="1:6" s="14" customFormat="1" ht="15.75">
      <c r="A53" s="7">
        <f t="shared" si="0"/>
        <v>39</v>
      </c>
      <c r="B53" s="65"/>
      <c r="C53" s="178" t="s">
        <v>409</v>
      </c>
      <c r="D53" s="85" t="s">
        <v>176</v>
      </c>
      <c r="E53" s="250">
        <f>E52</f>
        <v>3.4</v>
      </c>
      <c r="F53" s="48"/>
    </row>
    <row r="54" spans="1:6" s="14" customFormat="1">
      <c r="A54" s="7">
        <f t="shared" si="0"/>
        <v>40</v>
      </c>
      <c r="B54" s="65"/>
      <c r="C54" s="178" t="s">
        <v>699</v>
      </c>
      <c r="D54" s="85" t="s">
        <v>9</v>
      </c>
      <c r="E54" s="250">
        <f>629407/1000</f>
        <v>629.40700000000004</v>
      </c>
      <c r="F54" s="48"/>
    </row>
    <row r="55" spans="1:6" s="14" customFormat="1" ht="15.75">
      <c r="A55" s="7">
        <f t="shared" si="0"/>
        <v>41</v>
      </c>
      <c r="B55" s="65"/>
      <c r="C55" s="15" t="s">
        <v>1008</v>
      </c>
      <c r="D55" s="85" t="s">
        <v>176</v>
      </c>
      <c r="E55" s="250">
        <v>2.2000000000000002</v>
      </c>
      <c r="F55" s="48"/>
    </row>
    <row r="56" spans="1:6" s="14" customFormat="1" ht="15.75">
      <c r="A56" s="7">
        <f t="shared" si="0"/>
        <v>42</v>
      </c>
      <c r="B56" s="65"/>
      <c r="C56" s="178" t="s">
        <v>409</v>
      </c>
      <c r="D56" s="85" t="s">
        <v>176</v>
      </c>
      <c r="E56" s="250">
        <f>E55</f>
        <v>2.2000000000000002</v>
      </c>
      <c r="F56" s="48"/>
    </row>
    <row r="57" spans="1:6" s="14" customFormat="1">
      <c r="A57" s="7">
        <f t="shared" si="0"/>
        <v>43</v>
      </c>
      <c r="B57" s="65"/>
      <c r="C57" s="178" t="s">
        <v>699</v>
      </c>
      <c r="D57" s="85" t="s">
        <v>9</v>
      </c>
      <c r="E57" s="250">
        <f>440302/1000</f>
        <v>440.30200000000002</v>
      </c>
      <c r="F57" s="48"/>
    </row>
    <row r="58" spans="1:6" s="14" customFormat="1" ht="15.75">
      <c r="A58" s="7">
        <f t="shared" si="0"/>
        <v>44</v>
      </c>
      <c r="B58" s="65"/>
      <c r="C58" s="15" t="s">
        <v>1009</v>
      </c>
      <c r="D58" s="85" t="s">
        <v>176</v>
      </c>
      <c r="E58" s="250">
        <v>1.071</v>
      </c>
      <c r="F58" s="48"/>
    </row>
    <row r="59" spans="1:6" s="14" customFormat="1" ht="15.75">
      <c r="A59" s="7">
        <f t="shared" si="0"/>
        <v>45</v>
      </c>
      <c r="B59" s="65"/>
      <c r="C59" s="179" t="s">
        <v>409</v>
      </c>
      <c r="D59" s="85" t="s">
        <v>176</v>
      </c>
      <c r="E59" s="250">
        <f>E58</f>
        <v>1.071</v>
      </c>
      <c r="F59" s="48"/>
    </row>
    <row r="60" spans="1:6" s="14" customFormat="1">
      <c r="A60" s="7">
        <f t="shared" si="0"/>
        <v>46</v>
      </c>
      <c r="B60" s="65"/>
      <c r="C60" s="179" t="s">
        <v>699</v>
      </c>
      <c r="D60" s="85" t="s">
        <v>9</v>
      </c>
      <c r="E60" s="250">
        <f>80881/1000</f>
        <v>80.881</v>
      </c>
      <c r="F60" s="48"/>
    </row>
    <row r="61" spans="1:6" s="14" customFormat="1">
      <c r="A61" s="7">
        <f t="shared" si="0"/>
        <v>47</v>
      </c>
      <c r="B61" s="65"/>
      <c r="C61" s="179" t="s">
        <v>700</v>
      </c>
      <c r="D61" s="85" t="s">
        <v>9</v>
      </c>
      <c r="E61" s="250">
        <f>118119/1000</f>
        <v>118.119</v>
      </c>
      <c r="F61" s="48"/>
    </row>
    <row r="62" spans="1:6" s="14" customFormat="1" ht="25.5">
      <c r="A62" s="76"/>
      <c r="B62" s="76" t="s">
        <v>379</v>
      </c>
      <c r="C62" s="77" t="s">
        <v>1010</v>
      </c>
      <c r="D62" s="78"/>
      <c r="E62" s="247"/>
      <c r="F62" s="48"/>
    </row>
    <row r="63" spans="1:6" s="14" customFormat="1" ht="15.75">
      <c r="A63" s="7">
        <f>A61+1</f>
        <v>48</v>
      </c>
      <c r="B63" s="65"/>
      <c r="C63" s="15" t="s">
        <v>994</v>
      </c>
      <c r="D63" s="85" t="s">
        <v>176</v>
      </c>
      <c r="E63" s="250">
        <v>60.985999999999997</v>
      </c>
      <c r="F63" s="48"/>
    </row>
    <row r="64" spans="1:6" s="14" customFormat="1" ht="15.75">
      <c r="A64" s="7">
        <f t="shared" si="0"/>
        <v>49</v>
      </c>
      <c r="B64" s="65"/>
      <c r="C64" s="178" t="s">
        <v>409</v>
      </c>
      <c r="D64" s="85" t="s">
        <v>176</v>
      </c>
      <c r="E64" s="250">
        <f>E63</f>
        <v>60.985999999999997</v>
      </c>
      <c r="F64" s="48"/>
    </row>
    <row r="65" spans="1:6" s="14" customFormat="1">
      <c r="A65" s="7">
        <f t="shared" si="0"/>
        <v>50</v>
      </c>
      <c r="B65" s="65"/>
      <c r="C65" s="178" t="s">
        <v>699</v>
      </c>
      <c r="D65" s="85" t="s">
        <v>9</v>
      </c>
      <c r="E65" s="248">
        <f>4944566/1000</f>
        <v>4944.5659999999998</v>
      </c>
      <c r="F65" s="48"/>
    </row>
    <row r="66" spans="1:6" s="14" customFormat="1">
      <c r="A66" s="7">
        <f t="shared" si="0"/>
        <v>51</v>
      </c>
      <c r="B66" s="65"/>
      <c r="C66" s="178" t="s">
        <v>700</v>
      </c>
      <c r="D66" s="85" t="s">
        <v>9</v>
      </c>
      <c r="E66" s="248">
        <f>116000/1000</f>
        <v>116</v>
      </c>
      <c r="F66" s="48"/>
    </row>
    <row r="67" spans="1:6" s="14" customFormat="1" ht="15.75">
      <c r="A67" s="7">
        <f t="shared" si="0"/>
        <v>52</v>
      </c>
      <c r="B67" s="65"/>
      <c r="C67" s="15" t="s">
        <v>1011</v>
      </c>
      <c r="D67" s="85" t="s">
        <v>176</v>
      </c>
      <c r="E67" s="250">
        <v>4.0129999999999999</v>
      </c>
      <c r="F67" s="48"/>
    </row>
    <row r="68" spans="1:6" s="14" customFormat="1" ht="15.75">
      <c r="A68" s="7">
        <f t="shared" si="0"/>
        <v>53</v>
      </c>
      <c r="B68" s="65"/>
      <c r="C68" s="179" t="s">
        <v>409</v>
      </c>
      <c r="D68" s="85" t="s">
        <v>176</v>
      </c>
      <c r="E68" s="250">
        <f>E67</f>
        <v>4.0129999999999999</v>
      </c>
      <c r="F68" s="48"/>
    </row>
    <row r="69" spans="1:6" s="14" customFormat="1">
      <c r="A69" s="7">
        <f t="shared" si="0"/>
        <v>54</v>
      </c>
      <c r="B69" s="65"/>
      <c r="C69" s="179" t="s">
        <v>699</v>
      </c>
      <c r="D69" s="85" t="s">
        <v>9</v>
      </c>
      <c r="E69" s="248">
        <f>241912/1000</f>
        <v>241.91200000000001</v>
      </c>
      <c r="F69" s="48"/>
    </row>
    <row r="70" spans="1:6" s="14" customFormat="1">
      <c r="A70" s="7">
        <f t="shared" si="0"/>
        <v>55</v>
      </c>
      <c r="B70" s="65"/>
      <c r="C70" s="179" t="s">
        <v>700</v>
      </c>
      <c r="D70" s="85" t="s">
        <v>9</v>
      </c>
      <c r="E70" s="248">
        <f>184472/1000</f>
        <v>184.47200000000001</v>
      </c>
      <c r="F70" s="48"/>
    </row>
    <row r="71" spans="1:6" s="14" customFormat="1">
      <c r="A71" s="7">
        <f t="shared" si="0"/>
        <v>56</v>
      </c>
      <c r="B71" s="65"/>
      <c r="C71" s="61" t="s">
        <v>1012</v>
      </c>
      <c r="D71" s="85" t="s">
        <v>90</v>
      </c>
      <c r="E71" s="249">
        <v>28</v>
      </c>
      <c r="F71" s="48"/>
    </row>
    <row r="72" spans="1:6" s="14" customFormat="1">
      <c r="A72" s="7">
        <f t="shared" si="0"/>
        <v>57</v>
      </c>
      <c r="B72" s="65"/>
      <c r="C72" s="178" t="s">
        <v>1189</v>
      </c>
      <c r="D72" s="85" t="s">
        <v>90</v>
      </c>
      <c r="E72" s="249">
        <v>28</v>
      </c>
      <c r="F72" s="48"/>
    </row>
    <row r="73" spans="1:6" s="14" customFormat="1" ht="25.5">
      <c r="A73" s="78"/>
      <c r="B73" s="76" t="s">
        <v>931</v>
      </c>
      <c r="C73" s="77" t="s">
        <v>485</v>
      </c>
      <c r="D73" s="78"/>
      <c r="E73" s="247"/>
      <c r="F73" s="48"/>
    </row>
    <row r="74" spans="1:6" s="14" customFormat="1" ht="15.75">
      <c r="A74" s="7">
        <f>A72+1</f>
        <v>58</v>
      </c>
      <c r="B74" s="65"/>
      <c r="C74" s="15" t="s">
        <v>486</v>
      </c>
      <c r="D74" s="85" t="s">
        <v>175</v>
      </c>
      <c r="E74" s="250">
        <f>41*3.69</f>
        <v>151.29</v>
      </c>
      <c r="F74" s="48"/>
    </row>
    <row r="75" spans="1:6" s="14" customFormat="1" ht="15.75">
      <c r="A75" s="7">
        <f t="shared" si="0"/>
        <v>59</v>
      </c>
      <c r="B75" s="65"/>
      <c r="C75" s="12" t="s">
        <v>489</v>
      </c>
      <c r="D75" s="85" t="s">
        <v>176</v>
      </c>
      <c r="E75" s="248">
        <v>0.17499999999999999</v>
      </c>
      <c r="F75" s="48"/>
    </row>
    <row r="76" spans="1:6" s="14" customFormat="1" ht="15.75">
      <c r="A76" s="7">
        <f t="shared" si="0"/>
        <v>60</v>
      </c>
      <c r="B76" s="65"/>
      <c r="C76" s="15" t="s">
        <v>487</v>
      </c>
      <c r="D76" s="85" t="s">
        <v>175</v>
      </c>
      <c r="E76" s="250">
        <f>22*3.69</f>
        <v>81.179999999999993</v>
      </c>
      <c r="F76" s="48"/>
    </row>
    <row r="77" spans="1:6" s="14" customFormat="1" ht="15.75">
      <c r="A77" s="7">
        <f t="shared" si="0"/>
        <v>61</v>
      </c>
      <c r="B77" s="65"/>
      <c r="C77" s="12" t="s">
        <v>491</v>
      </c>
      <c r="D77" s="85" t="s">
        <v>176</v>
      </c>
      <c r="E77" s="248">
        <v>0.14599999999999999</v>
      </c>
      <c r="F77" s="48"/>
    </row>
    <row r="78" spans="1:6" s="14" customFormat="1" ht="15.75">
      <c r="A78" s="7">
        <f t="shared" si="0"/>
        <v>62</v>
      </c>
      <c r="B78" s="65"/>
      <c r="C78" s="15" t="s">
        <v>488</v>
      </c>
      <c r="D78" s="85" t="s">
        <v>175</v>
      </c>
      <c r="E78" s="248">
        <f>11*3.69</f>
        <v>40.589999999999996</v>
      </c>
      <c r="F78" s="48"/>
    </row>
    <row r="79" spans="1:6" s="14" customFormat="1" ht="15.75">
      <c r="A79" s="7">
        <f t="shared" si="0"/>
        <v>63</v>
      </c>
      <c r="B79" s="65"/>
      <c r="C79" s="12" t="s">
        <v>530</v>
      </c>
      <c r="D79" s="85" t="s">
        <v>176</v>
      </c>
      <c r="E79" s="248">
        <v>0.1</v>
      </c>
      <c r="F79" s="48"/>
    </row>
    <row r="80" spans="1:6" s="14" customFormat="1" ht="25.5">
      <c r="A80" s="7">
        <f t="shared" ref="A80:A143" si="1">A79+1</f>
        <v>64</v>
      </c>
      <c r="B80" s="65"/>
      <c r="C80" s="55" t="s">
        <v>490</v>
      </c>
      <c r="D80" s="85" t="s">
        <v>176</v>
      </c>
      <c r="E80" s="248">
        <v>0.27500000000000002</v>
      </c>
      <c r="F80" s="48"/>
    </row>
    <row r="81" spans="1:6" s="14" customFormat="1" ht="25.5">
      <c r="A81" s="76"/>
      <c r="B81" s="76" t="s">
        <v>931</v>
      </c>
      <c r="C81" s="77" t="s">
        <v>492</v>
      </c>
      <c r="D81" s="78"/>
      <c r="E81" s="247"/>
      <c r="F81" s="48"/>
    </row>
    <row r="82" spans="1:6" s="14" customFormat="1">
      <c r="A82" s="7">
        <f>A80+1</f>
        <v>65</v>
      </c>
      <c r="B82" s="176"/>
      <c r="C82" s="257" t="s">
        <v>499</v>
      </c>
      <c r="D82" s="180" t="s">
        <v>11</v>
      </c>
      <c r="E82" s="251">
        <v>296.10000000000002</v>
      </c>
      <c r="F82" s="48"/>
    </row>
    <row r="83" spans="1:6" s="14" customFormat="1">
      <c r="A83" s="7">
        <f t="shared" si="1"/>
        <v>66</v>
      </c>
      <c r="B83" s="65"/>
      <c r="C83" s="178" t="s">
        <v>500</v>
      </c>
      <c r="D83" s="62" t="s">
        <v>11</v>
      </c>
      <c r="E83" s="252">
        <v>296.10000000000002</v>
      </c>
      <c r="F83" s="48"/>
    </row>
    <row r="84" spans="1:6" s="14" customFormat="1" ht="15.75">
      <c r="A84" s="7">
        <f t="shared" si="1"/>
        <v>67</v>
      </c>
      <c r="B84" s="65"/>
      <c r="C84" s="61" t="s">
        <v>501</v>
      </c>
      <c r="D84" s="85" t="s">
        <v>176</v>
      </c>
      <c r="E84" s="252">
        <f>SUM(E85:E94)</f>
        <v>4.2699999999999996</v>
      </c>
      <c r="F84" s="48"/>
    </row>
    <row r="85" spans="1:6" s="14" customFormat="1" ht="15.75">
      <c r="A85" s="7">
        <f t="shared" si="1"/>
        <v>68</v>
      </c>
      <c r="B85" s="65"/>
      <c r="C85" s="55" t="s">
        <v>502</v>
      </c>
      <c r="D85" s="85" t="s">
        <v>176</v>
      </c>
      <c r="E85" s="248">
        <v>0.39</v>
      </c>
      <c r="F85" s="48"/>
    </row>
    <row r="86" spans="1:6" s="14" customFormat="1" ht="15.75">
      <c r="A86" s="7">
        <f t="shared" si="1"/>
        <v>69</v>
      </c>
      <c r="B86" s="65"/>
      <c r="C86" s="55" t="s">
        <v>503</v>
      </c>
      <c r="D86" s="85" t="s">
        <v>176</v>
      </c>
      <c r="E86" s="250">
        <v>0.06</v>
      </c>
      <c r="F86" s="48"/>
    </row>
    <row r="87" spans="1:6" s="14" customFormat="1" ht="15.75">
      <c r="A87" s="7">
        <f t="shared" si="1"/>
        <v>70</v>
      </c>
      <c r="B87" s="65"/>
      <c r="C87" s="55" t="s">
        <v>504</v>
      </c>
      <c r="D87" s="85" t="s">
        <v>493</v>
      </c>
      <c r="E87" s="250">
        <v>0.75</v>
      </c>
      <c r="F87" s="48"/>
    </row>
    <row r="88" spans="1:6" s="14" customFormat="1" ht="15.75">
      <c r="A88" s="7">
        <f t="shared" si="1"/>
        <v>71</v>
      </c>
      <c r="B88" s="65"/>
      <c r="C88" s="55" t="s">
        <v>505</v>
      </c>
      <c r="D88" s="85" t="s">
        <v>493</v>
      </c>
      <c r="E88" s="250">
        <v>0.39</v>
      </c>
      <c r="F88" s="48"/>
    </row>
    <row r="89" spans="1:6" s="14" customFormat="1" ht="15.75">
      <c r="A89" s="7">
        <f t="shared" si="1"/>
        <v>72</v>
      </c>
      <c r="B89" s="65"/>
      <c r="C89" s="55" t="s">
        <v>506</v>
      </c>
      <c r="D89" s="85" t="s">
        <v>493</v>
      </c>
      <c r="E89" s="250">
        <v>1.1299999999999999</v>
      </c>
      <c r="F89" s="48"/>
    </row>
    <row r="90" spans="1:6" s="14" customFormat="1" ht="15.75">
      <c r="A90" s="7">
        <f t="shared" si="1"/>
        <v>73</v>
      </c>
      <c r="B90" s="65"/>
      <c r="C90" s="55" t="s">
        <v>507</v>
      </c>
      <c r="D90" s="85" t="s">
        <v>493</v>
      </c>
      <c r="E90" s="248">
        <v>0.2</v>
      </c>
      <c r="F90" s="48"/>
    </row>
    <row r="91" spans="1:6" s="14" customFormat="1" ht="25.5">
      <c r="A91" s="7">
        <f t="shared" si="1"/>
        <v>74</v>
      </c>
      <c r="B91" s="65"/>
      <c r="C91" s="55" t="s">
        <v>508</v>
      </c>
      <c r="D91" s="85" t="s">
        <v>493</v>
      </c>
      <c r="E91" s="250">
        <v>0.96</v>
      </c>
      <c r="F91" s="48"/>
    </row>
    <row r="92" spans="1:6" s="14" customFormat="1" ht="25.5">
      <c r="A92" s="7">
        <f t="shared" si="1"/>
        <v>75</v>
      </c>
      <c r="B92" s="65"/>
      <c r="C92" s="55" t="s">
        <v>509</v>
      </c>
      <c r="D92" s="85" t="s">
        <v>493</v>
      </c>
      <c r="E92" s="250">
        <v>0.22</v>
      </c>
      <c r="F92" s="48"/>
    </row>
    <row r="93" spans="1:6" s="14" customFormat="1" ht="15.75">
      <c r="A93" s="7">
        <f t="shared" si="1"/>
        <v>76</v>
      </c>
      <c r="B93" s="65"/>
      <c r="C93" s="55" t="s">
        <v>510</v>
      </c>
      <c r="D93" s="85" t="s">
        <v>493</v>
      </c>
      <c r="E93" s="250">
        <v>0.1</v>
      </c>
      <c r="F93" s="48"/>
    </row>
    <row r="94" spans="1:6" s="14" customFormat="1" ht="15.75">
      <c r="A94" s="7">
        <f t="shared" si="1"/>
        <v>77</v>
      </c>
      <c r="B94" s="65"/>
      <c r="C94" s="55" t="s">
        <v>511</v>
      </c>
      <c r="D94" s="85" t="s">
        <v>493</v>
      </c>
      <c r="E94" s="248">
        <v>7.0000000000000007E-2</v>
      </c>
      <c r="F94" s="48"/>
    </row>
    <row r="95" spans="1:6" s="14" customFormat="1" ht="25.5">
      <c r="A95" s="76"/>
      <c r="B95" s="76" t="s">
        <v>931</v>
      </c>
      <c r="C95" s="77" t="s">
        <v>494</v>
      </c>
      <c r="D95" s="78"/>
      <c r="E95" s="247"/>
      <c r="F95" s="48"/>
    </row>
    <row r="96" spans="1:6" s="14" customFormat="1" ht="15.75">
      <c r="A96" s="7">
        <f>A94+1</f>
        <v>78</v>
      </c>
      <c r="B96" s="176"/>
      <c r="C96" s="257" t="s">
        <v>498</v>
      </c>
      <c r="D96" s="89" t="s">
        <v>493</v>
      </c>
      <c r="E96" s="251">
        <f>SUM(E97:E106)</f>
        <v>0.39500000000000002</v>
      </c>
      <c r="F96" s="48"/>
    </row>
    <row r="97" spans="1:6" s="14" customFormat="1" ht="15.75">
      <c r="A97" s="7">
        <f t="shared" si="1"/>
        <v>79</v>
      </c>
      <c r="B97" s="7"/>
      <c r="C97" s="286" t="s">
        <v>626</v>
      </c>
      <c r="D97" s="89" t="s">
        <v>493</v>
      </c>
      <c r="E97" s="249">
        <v>4.2999999999999997E-2</v>
      </c>
      <c r="F97" s="48"/>
    </row>
    <row r="98" spans="1:6" s="14" customFormat="1" ht="15.75">
      <c r="A98" s="7">
        <f t="shared" si="1"/>
        <v>80</v>
      </c>
      <c r="B98" s="31"/>
      <c r="C98" s="154" t="s">
        <v>627</v>
      </c>
      <c r="D98" s="85" t="s">
        <v>493</v>
      </c>
      <c r="E98" s="250">
        <v>8.9999999999999993E-3</v>
      </c>
      <c r="F98" s="48"/>
    </row>
    <row r="99" spans="1:6" s="14" customFormat="1" ht="15.75">
      <c r="A99" s="7">
        <f t="shared" si="1"/>
        <v>81</v>
      </c>
      <c r="B99" s="31"/>
      <c r="C99" s="154" t="s">
        <v>628</v>
      </c>
      <c r="D99" s="85" t="s">
        <v>493</v>
      </c>
      <c r="E99" s="250">
        <v>7.2999999999999995E-2</v>
      </c>
      <c r="F99" s="48"/>
    </row>
    <row r="100" spans="1:6" s="14" customFormat="1" ht="15.75">
      <c r="A100" s="7">
        <f t="shared" si="1"/>
        <v>82</v>
      </c>
      <c r="B100" s="31"/>
      <c r="C100" s="154" t="s">
        <v>629</v>
      </c>
      <c r="D100" s="85" t="s">
        <v>493</v>
      </c>
      <c r="E100" s="250">
        <v>7.9000000000000001E-2</v>
      </c>
      <c r="F100" s="48"/>
    </row>
    <row r="101" spans="1:6" s="14" customFormat="1" ht="15.75">
      <c r="A101" s="7">
        <f t="shared" si="1"/>
        <v>83</v>
      </c>
      <c r="B101" s="31"/>
      <c r="C101" s="154" t="s">
        <v>630</v>
      </c>
      <c r="D101" s="85" t="s">
        <v>493</v>
      </c>
      <c r="E101" s="250">
        <v>1.2999999999999999E-2</v>
      </c>
      <c r="F101" s="48"/>
    </row>
    <row r="102" spans="1:6" s="14" customFormat="1" ht="15.75">
      <c r="A102" s="7">
        <f t="shared" si="1"/>
        <v>84</v>
      </c>
      <c r="B102" s="31"/>
      <c r="C102" s="154" t="s">
        <v>631</v>
      </c>
      <c r="D102" s="85" t="s">
        <v>493</v>
      </c>
      <c r="E102" s="250">
        <v>3.9E-2</v>
      </c>
      <c r="F102" s="48"/>
    </row>
    <row r="103" spans="1:6" s="14" customFormat="1" ht="15.75">
      <c r="A103" s="7">
        <f t="shared" si="1"/>
        <v>85</v>
      </c>
      <c r="B103" s="31"/>
      <c r="C103" s="154" t="s">
        <v>632</v>
      </c>
      <c r="D103" s="85" t="s">
        <v>493</v>
      </c>
      <c r="E103" s="250">
        <v>7.0000000000000001E-3</v>
      </c>
      <c r="F103" s="48"/>
    </row>
    <row r="104" spans="1:6" s="14" customFormat="1" ht="15.75">
      <c r="A104" s="7">
        <f t="shared" si="1"/>
        <v>86</v>
      </c>
      <c r="B104" s="31"/>
      <c r="C104" s="154" t="s">
        <v>633</v>
      </c>
      <c r="D104" s="85" t="s">
        <v>493</v>
      </c>
      <c r="E104" s="250">
        <v>1.7999999999999999E-2</v>
      </c>
      <c r="F104" s="48"/>
    </row>
    <row r="105" spans="1:6" s="14" customFormat="1" ht="15.75">
      <c r="A105" s="7">
        <f t="shared" si="1"/>
        <v>87</v>
      </c>
      <c r="B105" s="31"/>
      <c r="C105" s="154" t="s">
        <v>634</v>
      </c>
      <c r="D105" s="85" t="s">
        <v>493</v>
      </c>
      <c r="E105" s="250">
        <v>8.0000000000000002E-3</v>
      </c>
      <c r="F105" s="48"/>
    </row>
    <row r="106" spans="1:6" s="14" customFormat="1" ht="15.75">
      <c r="A106" s="7">
        <f t="shared" si="1"/>
        <v>88</v>
      </c>
      <c r="B106" s="31"/>
      <c r="C106" s="154" t="s">
        <v>635</v>
      </c>
      <c r="D106" s="85" t="s">
        <v>493</v>
      </c>
      <c r="E106" s="250">
        <v>0.106</v>
      </c>
      <c r="F106" s="48"/>
    </row>
    <row r="107" spans="1:6" s="14" customFormat="1" ht="25.5">
      <c r="A107" s="76"/>
      <c r="B107" s="76" t="s">
        <v>931</v>
      </c>
      <c r="C107" s="77" t="s">
        <v>495</v>
      </c>
      <c r="D107" s="78"/>
      <c r="E107" s="247"/>
      <c r="F107" s="48"/>
    </row>
    <row r="108" spans="1:6" s="14" customFormat="1" ht="15.75">
      <c r="A108" s="7">
        <f>A106+1</f>
        <v>89</v>
      </c>
      <c r="B108" s="30"/>
      <c r="C108" s="57" t="s">
        <v>496</v>
      </c>
      <c r="D108" s="83" t="s">
        <v>493</v>
      </c>
      <c r="E108" s="253">
        <f>SUM(E109:E121)</f>
        <v>2.4840000000000004</v>
      </c>
      <c r="F108" s="48"/>
    </row>
    <row r="109" spans="1:6" s="14" customFormat="1" ht="15.75">
      <c r="A109" s="7">
        <f t="shared" si="1"/>
        <v>90</v>
      </c>
      <c r="B109" s="31"/>
      <c r="C109" s="55" t="s">
        <v>532</v>
      </c>
      <c r="D109" s="85" t="s">
        <v>493</v>
      </c>
      <c r="E109" s="250">
        <v>0.14499999999999999</v>
      </c>
      <c r="F109" s="48"/>
    </row>
    <row r="110" spans="1:6" s="14" customFormat="1" ht="15.75">
      <c r="A110" s="7">
        <f t="shared" si="1"/>
        <v>91</v>
      </c>
      <c r="B110" s="31"/>
      <c r="C110" s="55" t="s">
        <v>533</v>
      </c>
      <c r="D110" s="85" t="s">
        <v>493</v>
      </c>
      <c r="E110" s="250">
        <v>6.7000000000000004E-2</v>
      </c>
      <c r="F110" s="48"/>
    </row>
    <row r="111" spans="1:6" s="14" customFormat="1" ht="15.75">
      <c r="A111" s="7">
        <f t="shared" si="1"/>
        <v>92</v>
      </c>
      <c r="B111" s="31"/>
      <c r="C111" s="55" t="s">
        <v>534</v>
      </c>
      <c r="D111" s="85" t="s">
        <v>493</v>
      </c>
      <c r="E111" s="250">
        <v>7.8E-2</v>
      </c>
      <c r="F111" s="48"/>
    </row>
    <row r="112" spans="1:6" s="14" customFormat="1" ht="15.75">
      <c r="A112" s="7">
        <f t="shared" si="1"/>
        <v>93</v>
      </c>
      <c r="B112" s="31"/>
      <c r="C112" s="55" t="s">
        <v>535</v>
      </c>
      <c r="D112" s="85" t="s">
        <v>493</v>
      </c>
      <c r="E112" s="250">
        <v>0.13100000000000001</v>
      </c>
      <c r="F112" s="48"/>
    </row>
    <row r="113" spans="1:6" s="14" customFormat="1" ht="15.75">
      <c r="A113" s="7">
        <f t="shared" si="1"/>
        <v>94</v>
      </c>
      <c r="B113" s="31"/>
      <c r="C113" s="55" t="s">
        <v>536</v>
      </c>
      <c r="D113" s="85" t="s">
        <v>493</v>
      </c>
      <c r="E113" s="250">
        <v>6.5000000000000002E-2</v>
      </c>
      <c r="F113" s="48"/>
    </row>
    <row r="114" spans="1:6" s="14" customFormat="1" ht="15.75">
      <c r="A114" s="7">
        <f t="shared" si="1"/>
        <v>95</v>
      </c>
      <c r="B114" s="31"/>
      <c r="C114" s="55" t="s">
        <v>537</v>
      </c>
      <c r="D114" s="85" t="s">
        <v>493</v>
      </c>
      <c r="E114" s="250">
        <v>0.04</v>
      </c>
      <c r="F114" s="48"/>
    </row>
    <row r="115" spans="1:6" s="14" customFormat="1" ht="15.75">
      <c r="A115" s="7">
        <f t="shared" si="1"/>
        <v>96</v>
      </c>
      <c r="B115" s="31"/>
      <c r="C115" s="55" t="s">
        <v>538</v>
      </c>
      <c r="D115" s="85" t="s">
        <v>493</v>
      </c>
      <c r="E115" s="250">
        <v>0.39600000000000002</v>
      </c>
      <c r="F115" s="48"/>
    </row>
    <row r="116" spans="1:6" s="14" customFormat="1" ht="15.75">
      <c r="A116" s="7">
        <f t="shared" si="1"/>
        <v>97</v>
      </c>
      <c r="B116" s="31"/>
      <c r="C116" s="55" t="s">
        <v>539</v>
      </c>
      <c r="D116" s="85" t="s">
        <v>493</v>
      </c>
      <c r="E116" s="250">
        <v>0.52300000000000002</v>
      </c>
      <c r="F116" s="48"/>
    </row>
    <row r="117" spans="1:6" s="14" customFormat="1" ht="15.75">
      <c r="A117" s="7">
        <f t="shared" si="1"/>
        <v>98</v>
      </c>
      <c r="B117" s="31"/>
      <c r="C117" s="55" t="s">
        <v>540</v>
      </c>
      <c r="D117" s="85" t="s">
        <v>493</v>
      </c>
      <c r="E117" s="250">
        <v>0.30099999999999999</v>
      </c>
      <c r="F117" s="48"/>
    </row>
    <row r="118" spans="1:6" s="14" customFormat="1" ht="15.75">
      <c r="A118" s="7">
        <f t="shared" si="1"/>
        <v>99</v>
      </c>
      <c r="B118" s="31"/>
      <c r="C118" s="55" t="s">
        <v>541</v>
      </c>
      <c r="D118" s="85" t="s">
        <v>493</v>
      </c>
      <c r="E118" s="250">
        <v>0.218</v>
      </c>
      <c r="F118" s="48"/>
    </row>
    <row r="119" spans="1:6" s="14" customFormat="1" ht="15.75">
      <c r="A119" s="7">
        <f t="shared" si="1"/>
        <v>100</v>
      </c>
      <c r="B119" s="31"/>
      <c r="C119" s="55" t="s">
        <v>542</v>
      </c>
      <c r="D119" s="85" t="s">
        <v>493</v>
      </c>
      <c r="E119" s="250">
        <v>0.30099999999999999</v>
      </c>
      <c r="F119" s="48"/>
    </row>
    <row r="120" spans="1:6" s="14" customFormat="1" ht="15.75">
      <c r="A120" s="7">
        <f t="shared" si="1"/>
        <v>101</v>
      </c>
      <c r="B120" s="31"/>
      <c r="C120" s="55" t="s">
        <v>543</v>
      </c>
      <c r="D120" s="85" t="s">
        <v>493</v>
      </c>
      <c r="E120" s="250">
        <v>0.11899999999999999</v>
      </c>
      <c r="F120" s="48"/>
    </row>
    <row r="121" spans="1:6" s="14" customFormat="1" ht="15.75">
      <c r="A121" s="7">
        <f t="shared" si="1"/>
        <v>102</v>
      </c>
      <c r="B121" s="31"/>
      <c r="C121" s="55" t="s">
        <v>544</v>
      </c>
      <c r="D121" s="85" t="s">
        <v>493</v>
      </c>
      <c r="E121" s="250">
        <v>0.1</v>
      </c>
      <c r="F121" s="48"/>
    </row>
    <row r="122" spans="1:6" s="14" customFormat="1">
      <c r="A122" s="7">
        <f t="shared" si="1"/>
        <v>103</v>
      </c>
      <c r="B122" s="31"/>
      <c r="C122" s="15" t="s">
        <v>497</v>
      </c>
      <c r="D122" s="85" t="s">
        <v>11</v>
      </c>
      <c r="E122" s="250">
        <v>440.88</v>
      </c>
      <c r="F122" s="48"/>
    </row>
    <row r="123" spans="1:6" s="14" customFormat="1">
      <c r="A123" s="7">
        <f t="shared" si="1"/>
        <v>104</v>
      </c>
      <c r="B123" s="31"/>
      <c r="C123" s="55" t="s">
        <v>1013</v>
      </c>
      <c r="D123" s="16" t="s">
        <v>11</v>
      </c>
      <c r="E123" s="250">
        <v>440.88</v>
      </c>
      <c r="F123" s="48"/>
    </row>
    <row r="124" spans="1:6" s="14" customFormat="1" ht="25.5">
      <c r="A124" s="76"/>
      <c r="B124" s="76" t="s">
        <v>931</v>
      </c>
      <c r="C124" s="77" t="s">
        <v>512</v>
      </c>
      <c r="D124" s="78"/>
      <c r="E124" s="247"/>
      <c r="F124" s="48"/>
    </row>
    <row r="125" spans="1:6" s="14" customFormat="1" ht="15.75">
      <c r="A125" s="7">
        <f>A123+1</f>
        <v>105</v>
      </c>
      <c r="B125" s="65"/>
      <c r="C125" s="61" t="s">
        <v>513</v>
      </c>
      <c r="D125" s="85" t="s">
        <v>493</v>
      </c>
      <c r="E125" s="249">
        <f>SUM(E126:E136)</f>
        <v>10.557000000000002</v>
      </c>
      <c r="F125" s="48"/>
    </row>
    <row r="126" spans="1:6" s="14" customFormat="1" ht="15.75">
      <c r="A126" s="7">
        <f t="shared" si="1"/>
        <v>106</v>
      </c>
      <c r="B126" s="65"/>
      <c r="C126" s="178" t="s">
        <v>615</v>
      </c>
      <c r="D126" s="85" t="s">
        <v>493</v>
      </c>
      <c r="E126" s="249">
        <v>6.9050000000000002</v>
      </c>
      <c r="F126" s="48"/>
    </row>
    <row r="127" spans="1:6" s="14" customFormat="1" ht="15.75">
      <c r="A127" s="7">
        <f t="shared" si="1"/>
        <v>107</v>
      </c>
      <c r="B127" s="65"/>
      <c r="C127" s="178" t="s">
        <v>616</v>
      </c>
      <c r="D127" s="85" t="s">
        <v>493</v>
      </c>
      <c r="E127" s="249">
        <v>1.6459999999999999</v>
      </c>
      <c r="F127" s="48"/>
    </row>
    <row r="128" spans="1:6" s="14" customFormat="1" ht="15.75">
      <c r="A128" s="7">
        <f t="shared" si="1"/>
        <v>108</v>
      </c>
      <c r="B128" s="65"/>
      <c r="C128" s="178" t="s">
        <v>617</v>
      </c>
      <c r="D128" s="85" t="s">
        <v>493</v>
      </c>
      <c r="E128" s="249">
        <v>0.29699999999999999</v>
      </c>
      <c r="F128" s="48"/>
    </row>
    <row r="129" spans="1:6" s="14" customFormat="1" ht="15.75">
      <c r="A129" s="7">
        <f t="shared" si="1"/>
        <v>109</v>
      </c>
      <c r="B129" s="65"/>
      <c r="C129" s="178" t="s">
        <v>618</v>
      </c>
      <c r="D129" s="85" t="s">
        <v>493</v>
      </c>
      <c r="E129" s="249">
        <v>6.4000000000000001E-2</v>
      </c>
      <c r="F129" s="48"/>
    </row>
    <row r="130" spans="1:6" s="14" customFormat="1" ht="15.75">
      <c r="A130" s="7">
        <f t="shared" si="1"/>
        <v>110</v>
      </c>
      <c r="B130" s="65"/>
      <c r="C130" s="178" t="s">
        <v>619</v>
      </c>
      <c r="D130" s="85" t="s">
        <v>493</v>
      </c>
      <c r="E130" s="249">
        <v>9.8000000000000004E-2</v>
      </c>
      <c r="F130" s="48"/>
    </row>
    <row r="131" spans="1:6" s="14" customFormat="1" ht="15.75">
      <c r="A131" s="7">
        <f t="shared" si="1"/>
        <v>111</v>
      </c>
      <c r="B131" s="65"/>
      <c r="C131" s="178" t="s">
        <v>620</v>
      </c>
      <c r="D131" s="85" t="s">
        <v>493</v>
      </c>
      <c r="E131" s="249">
        <v>0.156</v>
      </c>
      <c r="F131" s="48"/>
    </row>
    <row r="132" spans="1:6" s="14" customFormat="1" ht="15.75">
      <c r="A132" s="7">
        <f t="shared" si="1"/>
        <v>112</v>
      </c>
      <c r="B132" s="65"/>
      <c r="C132" s="178" t="s">
        <v>621</v>
      </c>
      <c r="D132" s="85" t="s">
        <v>493</v>
      </c>
      <c r="E132" s="249">
        <v>0.58499999999999996</v>
      </c>
      <c r="F132" s="48"/>
    </row>
    <row r="133" spans="1:6" s="14" customFormat="1" ht="15.75">
      <c r="A133" s="7">
        <f t="shared" si="1"/>
        <v>113</v>
      </c>
      <c r="B133" s="65"/>
      <c r="C133" s="178" t="s">
        <v>622</v>
      </c>
      <c r="D133" s="85" t="s">
        <v>493</v>
      </c>
      <c r="E133" s="249">
        <v>0.29699999999999999</v>
      </c>
      <c r="F133" s="48"/>
    </row>
    <row r="134" spans="1:6" s="14" customFormat="1" ht="15.75">
      <c r="A134" s="7">
        <f t="shared" si="1"/>
        <v>114</v>
      </c>
      <c r="B134" s="65"/>
      <c r="C134" s="178" t="s">
        <v>623</v>
      </c>
      <c r="D134" s="85" t="s">
        <v>493</v>
      </c>
      <c r="E134" s="249">
        <v>0.15</v>
      </c>
      <c r="F134" s="48"/>
    </row>
    <row r="135" spans="1:6" s="14" customFormat="1" ht="15.75">
      <c r="A135" s="7">
        <f t="shared" si="1"/>
        <v>115</v>
      </c>
      <c r="B135" s="65"/>
      <c r="C135" s="178" t="s">
        <v>624</v>
      </c>
      <c r="D135" s="85" t="s">
        <v>493</v>
      </c>
      <c r="E135" s="249">
        <v>0.15</v>
      </c>
      <c r="F135" s="48"/>
    </row>
    <row r="136" spans="1:6" s="14" customFormat="1" ht="15.75">
      <c r="A136" s="7">
        <f t="shared" si="1"/>
        <v>116</v>
      </c>
      <c r="B136" s="65"/>
      <c r="C136" s="178" t="s">
        <v>625</v>
      </c>
      <c r="D136" s="85" t="s">
        <v>493</v>
      </c>
      <c r="E136" s="249">
        <v>0.20899999999999999</v>
      </c>
      <c r="F136" s="48"/>
    </row>
    <row r="137" spans="1:6" s="14" customFormat="1" ht="25.5">
      <c r="A137" s="76"/>
      <c r="B137" s="76" t="s">
        <v>931</v>
      </c>
      <c r="C137" s="77" t="s">
        <v>514</v>
      </c>
      <c r="D137" s="78"/>
      <c r="E137" s="247"/>
      <c r="F137" s="48"/>
    </row>
    <row r="138" spans="1:6" s="14" customFormat="1" ht="15.75">
      <c r="A138" s="7">
        <f>A136+1</f>
        <v>117</v>
      </c>
      <c r="B138" s="65"/>
      <c r="C138" s="61" t="s">
        <v>519</v>
      </c>
      <c r="D138" s="85" t="s">
        <v>493</v>
      </c>
      <c r="E138" s="249">
        <f>SUM(E139:E151)</f>
        <v>36.595999999999997</v>
      </c>
      <c r="F138" s="48"/>
    </row>
    <row r="139" spans="1:6" s="14" customFormat="1" ht="15.75">
      <c r="A139" s="7">
        <f t="shared" si="1"/>
        <v>118</v>
      </c>
      <c r="B139" s="65"/>
      <c r="C139" s="178" t="s">
        <v>602</v>
      </c>
      <c r="D139" s="85" t="s">
        <v>493</v>
      </c>
      <c r="E139" s="249">
        <v>6.3230000000000004</v>
      </c>
      <c r="F139" s="48"/>
    </row>
    <row r="140" spans="1:6" s="14" customFormat="1" ht="15.75">
      <c r="A140" s="7">
        <f t="shared" si="1"/>
        <v>119</v>
      </c>
      <c r="B140" s="65"/>
      <c r="C140" s="178" t="s">
        <v>603</v>
      </c>
      <c r="D140" s="85" t="s">
        <v>493</v>
      </c>
      <c r="E140" s="249">
        <v>1.581</v>
      </c>
      <c r="F140" s="48"/>
    </row>
    <row r="141" spans="1:6" s="14" customFormat="1" ht="15.75">
      <c r="A141" s="7">
        <f t="shared" si="1"/>
        <v>120</v>
      </c>
      <c r="B141" s="65"/>
      <c r="C141" s="178" t="s">
        <v>604</v>
      </c>
      <c r="D141" s="85" t="s">
        <v>493</v>
      </c>
      <c r="E141" s="249">
        <v>1.581</v>
      </c>
      <c r="F141" s="48"/>
    </row>
    <row r="142" spans="1:6" s="14" customFormat="1" ht="15.75">
      <c r="A142" s="7">
        <f t="shared" si="1"/>
        <v>121</v>
      </c>
      <c r="B142" s="65"/>
      <c r="C142" s="178" t="s">
        <v>605</v>
      </c>
      <c r="D142" s="85" t="s">
        <v>493</v>
      </c>
      <c r="E142" s="249">
        <v>7.4169999999999998</v>
      </c>
      <c r="F142" s="48"/>
    </row>
    <row r="143" spans="1:6" s="14" customFormat="1" ht="15.75">
      <c r="A143" s="7">
        <f t="shared" si="1"/>
        <v>122</v>
      </c>
      <c r="B143" s="65"/>
      <c r="C143" s="178" t="s">
        <v>606</v>
      </c>
      <c r="D143" s="85" t="s">
        <v>493</v>
      </c>
      <c r="E143" s="249">
        <v>1.8540000000000001</v>
      </c>
      <c r="F143" s="48"/>
    </row>
    <row r="144" spans="1:6" s="14" customFormat="1" ht="15.75">
      <c r="A144" s="7">
        <f t="shared" ref="A144:A206" si="2">A143+1</f>
        <v>123</v>
      </c>
      <c r="B144" s="65"/>
      <c r="C144" s="178" t="s">
        <v>607</v>
      </c>
      <c r="D144" s="85" t="s">
        <v>493</v>
      </c>
      <c r="E144" s="249">
        <v>1.8540000000000001</v>
      </c>
      <c r="F144" s="48"/>
    </row>
    <row r="145" spans="1:6" s="14" customFormat="1" ht="15.75">
      <c r="A145" s="7">
        <f t="shared" si="2"/>
        <v>124</v>
      </c>
      <c r="B145" s="65"/>
      <c r="C145" s="178" t="s">
        <v>608</v>
      </c>
      <c r="D145" s="85" t="s">
        <v>493</v>
      </c>
      <c r="E145" s="249">
        <v>6.2009999999999996</v>
      </c>
      <c r="F145" s="48"/>
    </row>
    <row r="146" spans="1:6" s="14" customFormat="1" ht="15.75">
      <c r="A146" s="7">
        <f t="shared" si="2"/>
        <v>125</v>
      </c>
      <c r="B146" s="65"/>
      <c r="C146" s="178" t="s">
        <v>609</v>
      </c>
      <c r="D146" s="85" t="s">
        <v>493</v>
      </c>
      <c r="E146" s="249">
        <v>1.55</v>
      </c>
      <c r="F146" s="48"/>
    </row>
    <row r="147" spans="1:6" s="14" customFormat="1" ht="15.75">
      <c r="A147" s="7">
        <f t="shared" si="2"/>
        <v>126</v>
      </c>
      <c r="B147" s="65"/>
      <c r="C147" s="178" t="s">
        <v>610</v>
      </c>
      <c r="D147" s="85" t="s">
        <v>493</v>
      </c>
      <c r="E147" s="249">
        <v>3.101</v>
      </c>
      <c r="F147" s="48"/>
    </row>
    <row r="148" spans="1:6" s="14" customFormat="1" ht="15.75">
      <c r="A148" s="7">
        <f t="shared" si="2"/>
        <v>127</v>
      </c>
      <c r="B148" s="65"/>
      <c r="C148" s="178" t="s">
        <v>611</v>
      </c>
      <c r="D148" s="85" t="s">
        <v>493</v>
      </c>
      <c r="E148" s="249">
        <v>1.5609999999999999</v>
      </c>
      <c r="F148" s="48"/>
    </row>
    <row r="149" spans="1:6" s="14" customFormat="1" ht="15.75">
      <c r="A149" s="7">
        <f t="shared" si="2"/>
        <v>128</v>
      </c>
      <c r="B149" s="65"/>
      <c r="C149" s="178" t="s">
        <v>612</v>
      </c>
      <c r="D149" s="85" t="s">
        <v>493</v>
      </c>
      <c r="E149" s="249">
        <v>1.5669999999999999</v>
      </c>
      <c r="F149" s="48"/>
    </row>
    <row r="150" spans="1:6" s="14" customFormat="1" ht="15.75">
      <c r="A150" s="7">
        <f t="shared" si="2"/>
        <v>129</v>
      </c>
      <c r="B150" s="65"/>
      <c r="C150" s="178" t="s">
        <v>613</v>
      </c>
      <c r="D150" s="85" t="s">
        <v>493</v>
      </c>
      <c r="E150" s="249">
        <v>0.99</v>
      </c>
      <c r="F150" s="48"/>
    </row>
    <row r="151" spans="1:6" s="14" customFormat="1" ht="15.75">
      <c r="A151" s="7">
        <f t="shared" si="2"/>
        <v>130</v>
      </c>
      <c r="B151" s="65"/>
      <c r="C151" s="178" t="s">
        <v>614</v>
      </c>
      <c r="D151" s="85" t="s">
        <v>493</v>
      </c>
      <c r="E151" s="249">
        <v>1.016</v>
      </c>
      <c r="F151" s="48"/>
    </row>
    <row r="152" spans="1:6" s="14" customFormat="1" ht="25.5">
      <c r="A152" s="76"/>
      <c r="B152" s="76" t="s">
        <v>931</v>
      </c>
      <c r="C152" s="77" t="s">
        <v>515</v>
      </c>
      <c r="D152" s="78"/>
      <c r="E152" s="247"/>
      <c r="F152" s="48"/>
    </row>
    <row r="153" spans="1:6" s="14" customFormat="1" ht="15.75">
      <c r="A153" s="7">
        <f>A151+1</f>
        <v>131</v>
      </c>
      <c r="B153" s="65"/>
      <c r="C153" s="61" t="s">
        <v>516</v>
      </c>
      <c r="D153" s="85" t="s">
        <v>493</v>
      </c>
      <c r="E153" s="249">
        <v>0.15</v>
      </c>
      <c r="F153" s="48"/>
    </row>
    <row r="154" spans="1:6" s="14" customFormat="1" ht="15.75">
      <c r="A154" s="7">
        <f t="shared" si="2"/>
        <v>132</v>
      </c>
      <c r="B154" s="65"/>
      <c r="C154" s="178" t="s">
        <v>517</v>
      </c>
      <c r="D154" s="85" t="s">
        <v>493</v>
      </c>
      <c r="E154" s="249">
        <v>8.6999999999999994E-2</v>
      </c>
      <c r="F154" s="48"/>
    </row>
    <row r="155" spans="1:6" s="14" customFormat="1" ht="15.75">
      <c r="A155" s="7">
        <f t="shared" si="2"/>
        <v>133</v>
      </c>
      <c r="B155" s="65"/>
      <c r="C155" s="178" t="s">
        <v>518</v>
      </c>
      <c r="D155" s="85" t="s">
        <v>493</v>
      </c>
      <c r="E155" s="249">
        <v>6.5000000000000002E-2</v>
      </c>
      <c r="F155" s="48"/>
    </row>
    <row r="156" spans="1:6" s="14" customFormat="1" ht="25.5">
      <c r="A156" s="76"/>
      <c r="B156" s="76" t="s">
        <v>931</v>
      </c>
      <c r="C156" s="77" t="s">
        <v>554</v>
      </c>
      <c r="D156" s="78"/>
      <c r="E156" s="247"/>
      <c r="F156" s="48"/>
    </row>
    <row r="157" spans="1:6" s="14" customFormat="1" ht="15.75">
      <c r="A157" s="7">
        <f>A155+1</f>
        <v>134</v>
      </c>
      <c r="B157" s="30"/>
      <c r="C157" s="57" t="s">
        <v>520</v>
      </c>
      <c r="D157" s="83" t="s">
        <v>175</v>
      </c>
      <c r="E157" s="253">
        <v>156.804</v>
      </c>
      <c r="F157" s="48"/>
    </row>
    <row r="158" spans="1:6" s="14" customFormat="1" ht="15.75">
      <c r="A158" s="7">
        <f t="shared" si="2"/>
        <v>135</v>
      </c>
      <c r="B158" s="31"/>
      <c r="C158" s="12" t="s">
        <v>525</v>
      </c>
      <c r="D158" s="85" t="s">
        <v>176</v>
      </c>
      <c r="E158" s="248">
        <v>0.23</v>
      </c>
      <c r="F158" s="48"/>
    </row>
    <row r="159" spans="1:6" s="14" customFormat="1" ht="15.75">
      <c r="A159" s="7">
        <f t="shared" si="2"/>
        <v>136</v>
      </c>
      <c r="B159" s="31"/>
      <c r="C159" s="15" t="s">
        <v>521</v>
      </c>
      <c r="D159" s="85" t="s">
        <v>175</v>
      </c>
      <c r="E159" s="250">
        <v>32.704000000000001</v>
      </c>
      <c r="F159" s="48"/>
    </row>
    <row r="160" spans="1:6" s="14" customFormat="1" ht="15.75">
      <c r="A160" s="7">
        <f t="shared" si="2"/>
        <v>137</v>
      </c>
      <c r="B160" s="31"/>
      <c r="C160" s="12" t="s">
        <v>526</v>
      </c>
      <c r="D160" s="85" t="s">
        <v>176</v>
      </c>
      <c r="E160" s="248">
        <v>0.10100000000000001</v>
      </c>
      <c r="F160" s="48"/>
    </row>
    <row r="161" spans="1:6" s="14" customFormat="1" ht="15.75">
      <c r="A161" s="7">
        <f t="shared" si="2"/>
        <v>138</v>
      </c>
      <c r="B161" s="31"/>
      <c r="C161" s="15" t="s">
        <v>522</v>
      </c>
      <c r="D161" s="85" t="s">
        <v>175</v>
      </c>
      <c r="E161" s="248">
        <v>5.2560000000000002</v>
      </c>
      <c r="F161" s="48"/>
    </row>
    <row r="162" spans="1:6" s="14" customFormat="1" ht="15.75">
      <c r="A162" s="7">
        <f t="shared" si="2"/>
        <v>139</v>
      </c>
      <c r="B162" s="31"/>
      <c r="C162" s="12" t="s">
        <v>527</v>
      </c>
      <c r="D162" s="85" t="s">
        <v>176</v>
      </c>
      <c r="E162" s="248">
        <v>1.2E-2</v>
      </c>
      <c r="F162" s="48"/>
    </row>
    <row r="163" spans="1:6" s="14" customFormat="1" ht="15.75">
      <c r="A163" s="7">
        <f t="shared" si="2"/>
        <v>140</v>
      </c>
      <c r="B163" s="31"/>
      <c r="C163" s="15" t="s">
        <v>523</v>
      </c>
      <c r="D163" s="85" t="s">
        <v>175</v>
      </c>
      <c r="E163" s="250">
        <v>46.156500000000001</v>
      </c>
      <c r="F163" s="48"/>
    </row>
    <row r="164" spans="1:6" s="14" customFormat="1" ht="15.75">
      <c r="A164" s="7">
        <f t="shared" si="2"/>
        <v>141</v>
      </c>
      <c r="B164" s="31"/>
      <c r="C164" s="12" t="s">
        <v>529</v>
      </c>
      <c r="D164" s="85" t="s">
        <v>176</v>
      </c>
      <c r="E164" s="248">
        <v>0.05</v>
      </c>
      <c r="F164" s="48"/>
    </row>
    <row r="165" spans="1:6" s="14" customFormat="1" ht="15.75">
      <c r="A165" s="7">
        <f t="shared" si="2"/>
        <v>142</v>
      </c>
      <c r="B165" s="31"/>
      <c r="C165" s="15" t="s">
        <v>524</v>
      </c>
      <c r="D165" s="85" t="s">
        <v>175</v>
      </c>
      <c r="E165" s="250">
        <v>20.119499999999999</v>
      </c>
      <c r="F165" s="48"/>
    </row>
    <row r="166" spans="1:6" s="14" customFormat="1">
      <c r="A166" s="7">
        <f t="shared" si="2"/>
        <v>143</v>
      </c>
      <c r="B166" s="31"/>
      <c r="C166" s="12" t="s">
        <v>528</v>
      </c>
      <c r="D166" s="16"/>
      <c r="E166" s="248">
        <v>3.3000000000000002E-2</v>
      </c>
      <c r="F166" s="48"/>
    </row>
    <row r="167" spans="1:6" s="14" customFormat="1" ht="25.5">
      <c r="A167" s="76"/>
      <c r="B167" s="76" t="s">
        <v>1049</v>
      </c>
      <c r="C167" s="77" t="s">
        <v>531</v>
      </c>
      <c r="D167" s="78"/>
      <c r="E167" s="247"/>
      <c r="F167" s="48"/>
    </row>
    <row r="168" spans="1:6" s="14" customFormat="1">
      <c r="A168" s="7">
        <f>A166+1</f>
        <v>144</v>
      </c>
      <c r="B168" s="176"/>
      <c r="C168" s="257" t="s">
        <v>499</v>
      </c>
      <c r="D168" s="180" t="s">
        <v>11</v>
      </c>
      <c r="E168" s="251">
        <f>E169+E170</f>
        <v>1366.7099999999998</v>
      </c>
      <c r="F168" s="48"/>
    </row>
    <row r="169" spans="1:6" s="14" customFormat="1">
      <c r="A169" s="7">
        <f t="shared" si="2"/>
        <v>145</v>
      </c>
      <c r="B169" s="65"/>
      <c r="C169" s="178" t="s">
        <v>1014</v>
      </c>
      <c r="D169" s="62" t="s">
        <v>11</v>
      </c>
      <c r="E169" s="252">
        <v>1148.6199999999999</v>
      </c>
      <c r="F169" s="48"/>
    </row>
    <row r="170" spans="1:6" s="14" customFormat="1">
      <c r="A170" s="7">
        <f t="shared" si="2"/>
        <v>146</v>
      </c>
      <c r="B170" s="65"/>
      <c r="C170" s="178" t="s">
        <v>1015</v>
      </c>
      <c r="D170" s="62"/>
      <c r="E170" s="252">
        <v>218.09</v>
      </c>
      <c r="F170" s="48"/>
    </row>
    <row r="171" spans="1:6" s="14" customFormat="1" ht="25.5">
      <c r="A171" s="7">
        <f t="shared" si="2"/>
        <v>147</v>
      </c>
      <c r="B171" s="65" t="s">
        <v>931</v>
      </c>
      <c r="C171" s="61" t="s">
        <v>501</v>
      </c>
      <c r="D171" s="85" t="s">
        <v>176</v>
      </c>
      <c r="E171" s="252">
        <f>SUM(E172:E178)</f>
        <v>1.4470000000000003</v>
      </c>
      <c r="F171" s="48"/>
    </row>
    <row r="172" spans="1:6" s="14" customFormat="1" ht="15.75">
      <c r="A172" s="7">
        <f t="shared" si="2"/>
        <v>148</v>
      </c>
      <c r="B172" s="65"/>
      <c r="C172" s="55" t="s">
        <v>593</v>
      </c>
      <c r="D172" s="85" t="s">
        <v>176</v>
      </c>
      <c r="E172" s="248">
        <v>0.59499999999999997</v>
      </c>
      <c r="F172" s="48"/>
    </row>
    <row r="173" spans="1:6" s="14" customFormat="1" ht="15.75">
      <c r="A173" s="7">
        <f t="shared" si="2"/>
        <v>149</v>
      </c>
      <c r="B173" s="65"/>
      <c r="C173" s="55" t="s">
        <v>594</v>
      </c>
      <c r="D173" s="85" t="s">
        <v>176</v>
      </c>
      <c r="E173" s="250">
        <v>0.05</v>
      </c>
      <c r="F173" s="48"/>
    </row>
    <row r="174" spans="1:6" s="14" customFormat="1" ht="15.75">
      <c r="A174" s="7">
        <f t="shared" si="2"/>
        <v>150</v>
      </c>
      <c r="B174" s="65"/>
      <c r="C174" s="55" t="s">
        <v>595</v>
      </c>
      <c r="D174" s="85" t="s">
        <v>493</v>
      </c>
      <c r="E174" s="250">
        <v>5.2999999999999999E-2</v>
      </c>
      <c r="F174" s="48"/>
    </row>
    <row r="175" spans="1:6" s="14" customFormat="1" ht="15.75">
      <c r="A175" s="7">
        <f t="shared" si="2"/>
        <v>151</v>
      </c>
      <c r="B175" s="65"/>
      <c r="C175" s="55" t="s">
        <v>596</v>
      </c>
      <c r="D175" s="85" t="s">
        <v>493</v>
      </c>
      <c r="E175" s="250">
        <v>0.40400000000000003</v>
      </c>
      <c r="F175" s="48"/>
    </row>
    <row r="176" spans="1:6" s="14" customFormat="1" ht="15.75">
      <c r="A176" s="7">
        <f t="shared" si="2"/>
        <v>152</v>
      </c>
      <c r="B176" s="65"/>
      <c r="C176" s="55" t="s">
        <v>597</v>
      </c>
      <c r="D176" s="85" t="s">
        <v>493</v>
      </c>
      <c r="E176" s="250">
        <v>0.16300000000000001</v>
      </c>
      <c r="F176" s="48"/>
    </row>
    <row r="177" spans="1:6" s="14" customFormat="1" ht="15.75">
      <c r="A177" s="7">
        <f t="shared" si="2"/>
        <v>153</v>
      </c>
      <c r="B177" s="65"/>
      <c r="C177" s="55" t="s">
        <v>598</v>
      </c>
      <c r="D177" s="85" t="s">
        <v>493</v>
      </c>
      <c r="E177" s="248">
        <v>0.11</v>
      </c>
      <c r="F177" s="48"/>
    </row>
    <row r="178" spans="1:6" s="14" customFormat="1" ht="15.75">
      <c r="A178" s="7">
        <f t="shared" si="2"/>
        <v>154</v>
      </c>
      <c r="B178" s="65"/>
      <c r="C178" s="55" t="s">
        <v>599</v>
      </c>
      <c r="D178" s="85" t="s">
        <v>493</v>
      </c>
      <c r="E178" s="250">
        <v>7.1999999999999995E-2</v>
      </c>
      <c r="F178" s="48"/>
    </row>
    <row r="179" spans="1:6" s="14" customFormat="1" ht="25.5">
      <c r="A179" s="76"/>
      <c r="B179" s="76" t="s">
        <v>1049</v>
      </c>
      <c r="C179" s="77" t="s">
        <v>545</v>
      </c>
      <c r="D179" s="78"/>
      <c r="E179" s="247"/>
      <c r="F179" s="48"/>
    </row>
    <row r="180" spans="1:6" s="14" customFormat="1">
      <c r="A180" s="7">
        <f>A178+1</f>
        <v>155</v>
      </c>
      <c r="B180" s="65"/>
      <c r="C180" s="61" t="s">
        <v>546</v>
      </c>
      <c r="D180" s="62" t="s">
        <v>11</v>
      </c>
      <c r="E180" s="249">
        <f>SUM(E181:E182)</f>
        <v>187.35</v>
      </c>
      <c r="F180" s="48"/>
    </row>
    <row r="181" spans="1:6" s="14" customFormat="1">
      <c r="A181" s="7">
        <f t="shared" si="2"/>
        <v>156</v>
      </c>
      <c r="B181" s="65"/>
      <c r="C181" s="178" t="s">
        <v>600</v>
      </c>
      <c r="D181" s="62" t="s">
        <v>11</v>
      </c>
      <c r="E181" s="249">
        <v>162.78</v>
      </c>
      <c r="F181" s="48"/>
    </row>
    <row r="182" spans="1:6" s="14" customFormat="1">
      <c r="A182" s="7">
        <f t="shared" si="2"/>
        <v>157</v>
      </c>
      <c r="B182" s="65"/>
      <c r="C182" s="178" t="s">
        <v>601</v>
      </c>
      <c r="D182" s="62" t="s">
        <v>11</v>
      </c>
      <c r="E182" s="249">
        <v>24.57</v>
      </c>
      <c r="F182" s="48"/>
    </row>
    <row r="183" spans="1:6" s="14" customFormat="1" ht="25.5">
      <c r="A183" s="76"/>
      <c r="B183" s="76" t="s">
        <v>931</v>
      </c>
      <c r="C183" s="77" t="s">
        <v>547</v>
      </c>
      <c r="D183" s="78"/>
      <c r="E183" s="247"/>
      <c r="F183" s="48"/>
    </row>
    <row r="184" spans="1:6" s="14" customFormat="1" ht="25.5">
      <c r="A184" s="7">
        <f>A182+1</f>
        <v>158</v>
      </c>
      <c r="B184" s="30" t="s">
        <v>931</v>
      </c>
      <c r="C184" s="57" t="s">
        <v>496</v>
      </c>
      <c r="D184" s="83" t="s">
        <v>493</v>
      </c>
      <c r="E184" s="253">
        <f>SUM(E185:E194)</f>
        <v>1.0299999999999998</v>
      </c>
      <c r="F184" s="48"/>
    </row>
    <row r="185" spans="1:6" s="14" customFormat="1" ht="15.75">
      <c r="A185" s="7">
        <f t="shared" si="2"/>
        <v>159</v>
      </c>
      <c r="B185" s="31"/>
      <c r="C185" s="55" t="s">
        <v>574</v>
      </c>
      <c r="D185" s="85" t="s">
        <v>493</v>
      </c>
      <c r="E185" s="250">
        <v>0.14399999999999999</v>
      </c>
      <c r="F185" s="48"/>
    </row>
    <row r="186" spans="1:6" s="14" customFormat="1" ht="15.75">
      <c r="A186" s="7">
        <f t="shared" si="2"/>
        <v>160</v>
      </c>
      <c r="B186" s="31"/>
      <c r="C186" s="55" t="s">
        <v>575</v>
      </c>
      <c r="D186" s="85" t="s">
        <v>493</v>
      </c>
      <c r="E186" s="250">
        <v>0.14499999999999999</v>
      </c>
      <c r="F186" s="48"/>
    </row>
    <row r="187" spans="1:6" s="14" customFormat="1" ht="15.75">
      <c r="A187" s="7">
        <f t="shared" si="2"/>
        <v>161</v>
      </c>
      <c r="B187" s="31"/>
      <c r="C187" s="55" t="s">
        <v>576</v>
      </c>
      <c r="D187" s="85" t="s">
        <v>493</v>
      </c>
      <c r="E187" s="250">
        <v>6.6000000000000003E-2</v>
      </c>
      <c r="F187" s="48"/>
    </row>
    <row r="188" spans="1:6" s="14" customFormat="1" ht="15.75">
      <c r="A188" s="7">
        <f t="shared" si="2"/>
        <v>162</v>
      </c>
      <c r="B188" s="31"/>
      <c r="C188" s="55" t="s">
        <v>577</v>
      </c>
      <c r="D188" s="85" t="s">
        <v>493</v>
      </c>
      <c r="E188" s="250">
        <v>5.8999999999999997E-2</v>
      </c>
      <c r="F188" s="48"/>
    </row>
    <row r="189" spans="1:6" s="14" customFormat="1" ht="15.75">
      <c r="A189" s="7">
        <f t="shared" si="2"/>
        <v>163</v>
      </c>
      <c r="B189" s="31"/>
      <c r="C189" s="55" t="s">
        <v>578</v>
      </c>
      <c r="D189" s="85" t="s">
        <v>493</v>
      </c>
      <c r="E189" s="250">
        <v>0.13100000000000001</v>
      </c>
      <c r="F189" s="48"/>
    </row>
    <row r="190" spans="1:6" s="14" customFormat="1" ht="15.75">
      <c r="A190" s="7">
        <f t="shared" si="2"/>
        <v>164</v>
      </c>
      <c r="B190" s="31"/>
      <c r="C190" s="55" t="s">
        <v>579</v>
      </c>
      <c r="D190" s="85" t="s">
        <v>493</v>
      </c>
      <c r="E190" s="250">
        <v>0.14499999999999999</v>
      </c>
      <c r="F190" s="48"/>
    </row>
    <row r="191" spans="1:6" s="14" customFormat="1" ht="15.75">
      <c r="A191" s="7">
        <f t="shared" si="2"/>
        <v>165</v>
      </c>
      <c r="B191" s="31"/>
      <c r="C191" s="55" t="s">
        <v>580</v>
      </c>
      <c r="D191" s="85" t="s">
        <v>493</v>
      </c>
      <c r="E191" s="250">
        <v>8.7999999999999995E-2</v>
      </c>
      <c r="F191" s="48"/>
    </row>
    <row r="192" spans="1:6" s="14" customFormat="1" ht="15.75">
      <c r="A192" s="7">
        <f t="shared" si="2"/>
        <v>166</v>
      </c>
      <c r="B192" s="31"/>
      <c r="C192" s="55" t="s">
        <v>581</v>
      </c>
      <c r="D192" s="85" t="s">
        <v>493</v>
      </c>
      <c r="E192" s="250">
        <v>9.9000000000000005E-2</v>
      </c>
      <c r="F192" s="48"/>
    </row>
    <row r="193" spans="1:6" s="14" customFormat="1" ht="15.75">
      <c r="A193" s="7">
        <f t="shared" si="2"/>
        <v>167</v>
      </c>
      <c r="B193" s="31"/>
      <c r="C193" s="55" t="s">
        <v>582</v>
      </c>
      <c r="D193" s="85" t="s">
        <v>493</v>
      </c>
      <c r="E193" s="250">
        <v>0.11799999999999999</v>
      </c>
      <c r="F193" s="48"/>
    </row>
    <row r="194" spans="1:6" s="14" customFormat="1" ht="15.75">
      <c r="A194" s="7">
        <f t="shared" si="2"/>
        <v>168</v>
      </c>
      <c r="B194" s="31"/>
      <c r="C194" s="55" t="s">
        <v>583</v>
      </c>
      <c r="D194" s="85" t="s">
        <v>493</v>
      </c>
      <c r="E194" s="250">
        <v>3.5000000000000003E-2</v>
      </c>
      <c r="F194" s="48"/>
    </row>
    <row r="195" spans="1:6" s="14" customFormat="1" ht="25.5">
      <c r="A195" s="7">
        <f t="shared" si="2"/>
        <v>169</v>
      </c>
      <c r="B195" s="31" t="s">
        <v>1049</v>
      </c>
      <c r="C195" s="15" t="s">
        <v>497</v>
      </c>
      <c r="D195" s="85" t="s">
        <v>11</v>
      </c>
      <c r="E195" s="250">
        <f>SUM(E196:E202)</f>
        <v>2584.38</v>
      </c>
      <c r="F195" s="48"/>
    </row>
    <row r="196" spans="1:6" s="14" customFormat="1">
      <c r="A196" s="7">
        <f t="shared" si="2"/>
        <v>170</v>
      </c>
      <c r="B196" s="31"/>
      <c r="C196" s="55" t="s">
        <v>584</v>
      </c>
      <c r="D196" s="16" t="s">
        <v>11</v>
      </c>
      <c r="E196" s="250">
        <v>315.83</v>
      </c>
      <c r="F196" s="48"/>
    </row>
    <row r="197" spans="1:6" s="14" customFormat="1">
      <c r="A197" s="7">
        <f t="shared" si="2"/>
        <v>171</v>
      </c>
      <c r="B197" s="31"/>
      <c r="C197" s="55" t="s">
        <v>585</v>
      </c>
      <c r="D197" s="16" t="s">
        <v>11</v>
      </c>
      <c r="E197" s="250">
        <v>324.33999999999997</v>
      </c>
      <c r="F197" s="48"/>
    </row>
    <row r="198" spans="1:6" s="14" customFormat="1">
      <c r="A198" s="7">
        <f t="shared" si="2"/>
        <v>172</v>
      </c>
      <c r="B198" s="31"/>
      <c r="C198" s="55" t="s">
        <v>586</v>
      </c>
      <c r="D198" s="16" t="s">
        <v>11</v>
      </c>
      <c r="E198" s="250">
        <v>354.67</v>
      </c>
      <c r="F198" s="48"/>
    </row>
    <row r="199" spans="1:6" s="14" customFormat="1">
      <c r="A199" s="7">
        <f t="shared" si="2"/>
        <v>173</v>
      </c>
      <c r="B199" s="31"/>
      <c r="C199" s="55" t="s">
        <v>587</v>
      </c>
      <c r="D199" s="16" t="s">
        <v>11</v>
      </c>
      <c r="E199" s="250">
        <v>256.76</v>
      </c>
      <c r="F199" s="48"/>
    </row>
    <row r="200" spans="1:6" s="14" customFormat="1">
      <c r="A200" s="7">
        <f t="shared" si="2"/>
        <v>174</v>
      </c>
      <c r="B200" s="31"/>
      <c r="C200" s="55" t="s">
        <v>588</v>
      </c>
      <c r="D200" s="16" t="s">
        <v>11</v>
      </c>
      <c r="E200" s="250">
        <v>561.17999999999995</v>
      </c>
      <c r="F200" s="48"/>
    </row>
    <row r="201" spans="1:6" s="14" customFormat="1">
      <c r="A201" s="7">
        <f t="shared" si="2"/>
        <v>175</v>
      </c>
      <c r="B201" s="31"/>
      <c r="C201" s="55" t="s">
        <v>589</v>
      </c>
      <c r="D201" s="16" t="s">
        <v>11</v>
      </c>
      <c r="E201" s="250">
        <v>436.32</v>
      </c>
      <c r="F201" s="48"/>
    </row>
    <row r="202" spans="1:6" s="14" customFormat="1">
      <c r="A202" s="7">
        <f t="shared" si="2"/>
        <v>176</v>
      </c>
      <c r="B202" s="31"/>
      <c r="C202" s="55" t="s">
        <v>590</v>
      </c>
      <c r="D202" s="16" t="s">
        <v>11</v>
      </c>
      <c r="E202" s="250">
        <v>335.28</v>
      </c>
      <c r="F202" s="48"/>
    </row>
    <row r="203" spans="1:6" s="14" customFormat="1" ht="25.5">
      <c r="A203" s="76"/>
      <c r="B203" s="76" t="s">
        <v>931</v>
      </c>
      <c r="C203" s="77" t="s">
        <v>1019</v>
      </c>
      <c r="D203" s="78"/>
      <c r="E203" s="247"/>
      <c r="F203" s="48"/>
    </row>
    <row r="204" spans="1:6" s="14" customFormat="1" ht="15.75">
      <c r="A204" s="7">
        <f>A202+1</f>
        <v>177</v>
      </c>
      <c r="B204" s="65"/>
      <c r="C204" s="61" t="s">
        <v>548</v>
      </c>
      <c r="D204" s="85" t="s">
        <v>493</v>
      </c>
      <c r="E204" s="249">
        <f>SUM(E205:E209)</f>
        <v>0.191</v>
      </c>
      <c r="F204" s="48"/>
    </row>
    <row r="205" spans="1:6" s="14" customFormat="1" ht="15.75">
      <c r="A205" s="7">
        <f t="shared" si="2"/>
        <v>178</v>
      </c>
      <c r="B205" s="65"/>
      <c r="C205" s="178" t="s">
        <v>636</v>
      </c>
      <c r="D205" s="85" t="s">
        <v>493</v>
      </c>
      <c r="E205" s="249">
        <v>2.9000000000000001E-2</v>
      </c>
      <c r="F205" s="48"/>
    </row>
    <row r="206" spans="1:6" s="14" customFormat="1" ht="15.75">
      <c r="A206" s="7">
        <f t="shared" si="2"/>
        <v>179</v>
      </c>
      <c r="B206" s="65"/>
      <c r="C206" s="178" t="s">
        <v>637</v>
      </c>
      <c r="D206" s="85" t="s">
        <v>493</v>
      </c>
      <c r="E206" s="249">
        <v>3.5999999999999997E-2</v>
      </c>
      <c r="F206" s="48"/>
    </row>
    <row r="207" spans="1:6" s="14" customFormat="1" ht="15.75">
      <c r="A207" s="7">
        <f t="shared" ref="A207:A270" si="3">A206+1</f>
        <v>180</v>
      </c>
      <c r="B207" s="65"/>
      <c r="C207" s="178" t="s">
        <v>638</v>
      </c>
      <c r="D207" s="85" t="s">
        <v>493</v>
      </c>
      <c r="E207" s="249">
        <v>2E-3</v>
      </c>
      <c r="F207" s="48"/>
    </row>
    <row r="208" spans="1:6" s="14" customFormat="1" ht="15.75">
      <c r="A208" s="7">
        <f t="shared" si="3"/>
        <v>181</v>
      </c>
      <c r="B208" s="65"/>
      <c r="C208" s="178" t="s">
        <v>639</v>
      </c>
      <c r="D208" s="85" t="s">
        <v>493</v>
      </c>
      <c r="E208" s="249">
        <v>5.8999999999999997E-2</v>
      </c>
      <c r="F208" s="48"/>
    </row>
    <row r="209" spans="1:6" s="14" customFormat="1" ht="15.75">
      <c r="A209" s="7">
        <f t="shared" si="3"/>
        <v>182</v>
      </c>
      <c r="B209" s="65"/>
      <c r="C209" s="178" t="s">
        <v>640</v>
      </c>
      <c r="D209" s="85" t="s">
        <v>493</v>
      </c>
      <c r="E209" s="249">
        <v>6.5000000000000002E-2</v>
      </c>
      <c r="F209" s="48"/>
    </row>
    <row r="210" spans="1:6" s="14" customFormat="1" ht="15.75">
      <c r="A210" s="7">
        <f t="shared" si="3"/>
        <v>183</v>
      </c>
      <c r="B210" s="65"/>
      <c r="C210" s="61" t="s">
        <v>549</v>
      </c>
      <c r="D210" s="85" t="s">
        <v>493</v>
      </c>
      <c r="E210" s="249">
        <f>SUM(E211:E215)</f>
        <v>0.20100000000000001</v>
      </c>
      <c r="F210" s="48"/>
    </row>
    <row r="211" spans="1:6" s="14" customFormat="1" ht="15.75">
      <c r="A211" s="7">
        <f t="shared" si="3"/>
        <v>184</v>
      </c>
      <c r="B211" s="65"/>
      <c r="C211" s="178" t="s">
        <v>641</v>
      </c>
      <c r="D211" s="85" t="s">
        <v>493</v>
      </c>
      <c r="E211" s="249">
        <v>5.7000000000000002E-2</v>
      </c>
      <c r="F211" s="48"/>
    </row>
    <row r="212" spans="1:6" s="14" customFormat="1" ht="15.75">
      <c r="A212" s="7">
        <f t="shared" si="3"/>
        <v>185</v>
      </c>
      <c r="B212" s="65"/>
      <c r="C212" s="178" t="s">
        <v>642</v>
      </c>
      <c r="D212" s="85" t="s">
        <v>493</v>
      </c>
      <c r="E212" s="249">
        <v>0.02</v>
      </c>
      <c r="F212" s="48"/>
    </row>
    <row r="213" spans="1:6" s="14" customFormat="1" ht="15.75">
      <c r="A213" s="7">
        <f t="shared" si="3"/>
        <v>186</v>
      </c>
      <c r="B213" s="65"/>
      <c r="C213" s="178" t="s">
        <v>643</v>
      </c>
      <c r="D213" s="85" t="s">
        <v>493</v>
      </c>
      <c r="E213" s="249">
        <v>5.3999999999999999E-2</v>
      </c>
      <c r="F213" s="48"/>
    </row>
    <row r="214" spans="1:6" s="14" customFormat="1" ht="15.75">
      <c r="A214" s="7">
        <f t="shared" si="3"/>
        <v>187</v>
      </c>
      <c r="B214" s="65"/>
      <c r="C214" s="178" t="s">
        <v>644</v>
      </c>
      <c r="D214" s="85" t="s">
        <v>493</v>
      </c>
      <c r="E214" s="249">
        <v>5.8000000000000003E-2</v>
      </c>
      <c r="F214" s="48"/>
    </row>
    <row r="215" spans="1:6" s="14" customFormat="1" ht="15.75">
      <c r="A215" s="7">
        <f t="shared" si="3"/>
        <v>188</v>
      </c>
      <c r="B215" s="65"/>
      <c r="C215" s="178" t="s">
        <v>645</v>
      </c>
      <c r="D215" s="85" t="s">
        <v>493</v>
      </c>
      <c r="E215" s="249">
        <v>1.2E-2</v>
      </c>
      <c r="F215" s="48"/>
    </row>
    <row r="216" spans="1:6" s="14" customFormat="1" ht="15.75">
      <c r="A216" s="7">
        <f t="shared" si="3"/>
        <v>189</v>
      </c>
      <c r="B216" s="65"/>
      <c r="C216" s="61" t="s">
        <v>550</v>
      </c>
      <c r="D216" s="85" t="s">
        <v>493</v>
      </c>
      <c r="E216" s="249">
        <f>SUM(E217:E220)</f>
        <v>8.900000000000001E-2</v>
      </c>
      <c r="F216" s="48"/>
    </row>
    <row r="217" spans="1:6" s="14" customFormat="1" ht="15.75">
      <c r="A217" s="7">
        <f t="shared" si="3"/>
        <v>190</v>
      </c>
      <c r="B217" s="65"/>
      <c r="C217" s="178" t="s">
        <v>646</v>
      </c>
      <c r="D217" s="85" t="s">
        <v>493</v>
      </c>
      <c r="E217" s="249">
        <v>2.8000000000000001E-2</v>
      </c>
      <c r="F217" s="48"/>
    </row>
    <row r="218" spans="1:6" s="14" customFormat="1" ht="15.75">
      <c r="A218" s="7">
        <f t="shared" si="3"/>
        <v>191</v>
      </c>
      <c r="B218" s="65"/>
      <c r="C218" s="178" t="s">
        <v>647</v>
      </c>
      <c r="D218" s="85" t="s">
        <v>493</v>
      </c>
      <c r="E218" s="249">
        <v>5.3999999999999999E-2</v>
      </c>
      <c r="F218" s="48"/>
    </row>
    <row r="219" spans="1:6" s="14" customFormat="1" ht="15.75">
      <c r="A219" s="7">
        <f t="shared" si="3"/>
        <v>192</v>
      </c>
      <c r="B219" s="65"/>
      <c r="C219" s="178" t="s">
        <v>648</v>
      </c>
      <c r="D219" s="85" t="s">
        <v>493</v>
      </c>
      <c r="E219" s="249">
        <v>3.0000000000000001E-3</v>
      </c>
      <c r="F219" s="48"/>
    </row>
    <row r="220" spans="1:6" s="14" customFormat="1" ht="15.75">
      <c r="A220" s="7">
        <f t="shared" si="3"/>
        <v>193</v>
      </c>
      <c r="B220" s="65"/>
      <c r="C220" s="178" t="s">
        <v>649</v>
      </c>
      <c r="D220" s="85" t="s">
        <v>493</v>
      </c>
      <c r="E220" s="249">
        <v>4.0000000000000001E-3</v>
      </c>
      <c r="F220" s="48"/>
    </row>
    <row r="221" spans="1:6" s="14" customFormat="1" ht="15.75">
      <c r="A221" s="7">
        <f t="shared" si="3"/>
        <v>194</v>
      </c>
      <c r="B221" s="65"/>
      <c r="C221" s="61" t="s">
        <v>551</v>
      </c>
      <c r="D221" s="85" t="s">
        <v>493</v>
      </c>
      <c r="E221" s="249">
        <f>SUM(E222:E223)</f>
        <v>0.316</v>
      </c>
      <c r="F221" s="48"/>
    </row>
    <row r="222" spans="1:6" s="14" customFormat="1" ht="15.75">
      <c r="A222" s="7">
        <f t="shared" si="3"/>
        <v>195</v>
      </c>
      <c r="B222" s="65"/>
      <c r="C222" s="178" t="s">
        <v>650</v>
      </c>
      <c r="D222" s="85" t="s">
        <v>493</v>
      </c>
      <c r="E222" s="249">
        <v>0.122</v>
      </c>
      <c r="F222" s="48"/>
    </row>
    <row r="223" spans="1:6" s="14" customFormat="1" ht="15.75">
      <c r="A223" s="7">
        <f t="shared" si="3"/>
        <v>196</v>
      </c>
      <c r="B223" s="65"/>
      <c r="C223" s="178" t="s">
        <v>651</v>
      </c>
      <c r="D223" s="85" t="s">
        <v>493</v>
      </c>
      <c r="E223" s="249">
        <v>0.19400000000000001</v>
      </c>
      <c r="F223" s="48"/>
    </row>
    <row r="224" spans="1:6" s="14" customFormat="1" ht="15.75">
      <c r="A224" s="7">
        <f t="shared" si="3"/>
        <v>197</v>
      </c>
      <c r="B224" s="65"/>
      <c r="C224" s="61" t="s">
        <v>552</v>
      </c>
      <c r="D224" s="85" t="s">
        <v>493</v>
      </c>
      <c r="E224" s="249">
        <f>E225</f>
        <v>0.186</v>
      </c>
      <c r="F224" s="48"/>
    </row>
    <row r="225" spans="1:6" s="14" customFormat="1" ht="15.75">
      <c r="A225" s="7">
        <f t="shared" si="3"/>
        <v>198</v>
      </c>
      <c r="B225" s="65"/>
      <c r="C225" s="178" t="s">
        <v>652</v>
      </c>
      <c r="D225" s="85" t="s">
        <v>493</v>
      </c>
      <c r="E225" s="249">
        <v>0.186</v>
      </c>
      <c r="F225" s="48"/>
    </row>
    <row r="226" spans="1:6" s="14" customFormat="1" ht="15.75">
      <c r="A226" s="7">
        <f t="shared" si="3"/>
        <v>199</v>
      </c>
      <c r="B226" s="65"/>
      <c r="C226" s="61" t="s">
        <v>562</v>
      </c>
      <c r="D226" s="85" t="s">
        <v>493</v>
      </c>
      <c r="E226" s="249">
        <f>SUM(E227:E228)</f>
        <v>0.10299999999999999</v>
      </c>
      <c r="F226" s="48"/>
    </row>
    <row r="227" spans="1:6" s="14" customFormat="1" ht="15.75">
      <c r="A227" s="7">
        <f t="shared" si="3"/>
        <v>200</v>
      </c>
      <c r="B227" s="65"/>
      <c r="C227" s="178" t="s">
        <v>1016</v>
      </c>
      <c r="D227" s="85" t="s">
        <v>493</v>
      </c>
      <c r="E227" s="249">
        <v>2.7E-2</v>
      </c>
      <c r="F227" s="48"/>
    </row>
    <row r="228" spans="1:6" s="14" customFormat="1" ht="15.75">
      <c r="A228" s="7">
        <f t="shared" si="3"/>
        <v>201</v>
      </c>
      <c r="B228" s="65"/>
      <c r="C228" s="178" t="s">
        <v>1017</v>
      </c>
      <c r="D228" s="85" t="s">
        <v>493</v>
      </c>
      <c r="E228" s="249">
        <v>7.5999999999999998E-2</v>
      </c>
      <c r="F228" s="48"/>
    </row>
    <row r="229" spans="1:6" s="14" customFormat="1" ht="15.75">
      <c r="A229" s="7">
        <f t="shared" si="3"/>
        <v>202</v>
      </c>
      <c r="B229" s="65"/>
      <c r="C229" s="61" t="s">
        <v>563</v>
      </c>
      <c r="D229" s="85" t="s">
        <v>493</v>
      </c>
      <c r="E229" s="249">
        <f>SUM(E230:E230)</f>
        <v>7.1999999999999995E-2</v>
      </c>
      <c r="F229" s="48"/>
    </row>
    <row r="230" spans="1:6" s="14" customFormat="1" ht="15.75">
      <c r="A230" s="7">
        <f t="shared" si="3"/>
        <v>203</v>
      </c>
      <c r="B230" s="65"/>
      <c r="C230" s="178" t="s">
        <v>1018</v>
      </c>
      <c r="D230" s="85" t="s">
        <v>493</v>
      </c>
      <c r="E230" s="249">
        <v>7.1999999999999995E-2</v>
      </c>
      <c r="F230" s="48"/>
    </row>
    <row r="231" spans="1:6" s="14" customFormat="1" ht="15.75">
      <c r="A231" s="7">
        <f t="shared" si="3"/>
        <v>204</v>
      </c>
      <c r="B231" s="65"/>
      <c r="C231" s="61" t="s">
        <v>564</v>
      </c>
      <c r="D231" s="85" t="s">
        <v>493</v>
      </c>
      <c r="E231" s="249">
        <f>SUM(E232:E238)</f>
        <v>13.814</v>
      </c>
      <c r="F231" s="48"/>
    </row>
    <row r="232" spans="1:6" s="14" customFormat="1" ht="15.75">
      <c r="A232" s="7">
        <f t="shared" si="3"/>
        <v>205</v>
      </c>
      <c r="B232" s="65"/>
      <c r="C232" s="178" t="s">
        <v>667</v>
      </c>
      <c r="D232" s="85" t="s">
        <v>493</v>
      </c>
      <c r="E232" s="249">
        <v>4.5780000000000003</v>
      </c>
      <c r="F232" s="48"/>
    </row>
    <row r="233" spans="1:6" s="14" customFormat="1" ht="15.75">
      <c r="A233" s="7">
        <f t="shared" si="3"/>
        <v>206</v>
      </c>
      <c r="B233" s="65"/>
      <c r="C233" s="178" t="s">
        <v>659</v>
      </c>
      <c r="D233" s="85" t="s">
        <v>493</v>
      </c>
      <c r="E233" s="249">
        <v>1.7130000000000001</v>
      </c>
      <c r="F233" s="48"/>
    </row>
    <row r="234" spans="1:6" s="14" customFormat="1" ht="15.75">
      <c r="A234" s="7">
        <f t="shared" si="3"/>
        <v>207</v>
      </c>
      <c r="B234" s="65"/>
      <c r="C234" s="178" t="s">
        <v>660</v>
      </c>
      <c r="D234" s="85" t="s">
        <v>493</v>
      </c>
      <c r="E234" s="249">
        <v>1.242</v>
      </c>
      <c r="F234" s="48"/>
    </row>
    <row r="235" spans="1:6" s="14" customFormat="1" ht="15.75">
      <c r="A235" s="7">
        <f t="shared" si="3"/>
        <v>208</v>
      </c>
      <c r="B235" s="65"/>
      <c r="C235" s="178" t="s">
        <v>661</v>
      </c>
      <c r="D235" s="85" t="s">
        <v>493</v>
      </c>
      <c r="E235" s="249">
        <v>3.7959999999999998</v>
      </c>
      <c r="F235" s="48"/>
    </row>
    <row r="236" spans="1:6" s="14" customFormat="1" ht="15.75">
      <c r="A236" s="7">
        <f t="shared" si="3"/>
        <v>209</v>
      </c>
      <c r="B236" s="65"/>
      <c r="C236" s="178" t="s">
        <v>662</v>
      </c>
      <c r="D236" s="85" t="s">
        <v>493</v>
      </c>
      <c r="E236" s="249">
        <v>1.857</v>
      </c>
      <c r="F236" s="48"/>
    </row>
    <row r="237" spans="1:6" s="14" customFormat="1" ht="15.75">
      <c r="A237" s="7">
        <f t="shared" si="3"/>
        <v>210</v>
      </c>
      <c r="B237" s="65"/>
      <c r="C237" s="178" t="s">
        <v>665</v>
      </c>
      <c r="D237" s="85" t="s">
        <v>493</v>
      </c>
      <c r="E237" s="249">
        <v>0.41099999999999998</v>
      </c>
      <c r="F237" s="48"/>
    </row>
    <row r="238" spans="1:6" s="14" customFormat="1" ht="15.75">
      <c r="A238" s="7">
        <f t="shared" si="3"/>
        <v>211</v>
      </c>
      <c r="B238" s="65"/>
      <c r="C238" s="178" t="s">
        <v>666</v>
      </c>
      <c r="D238" s="85" t="s">
        <v>493</v>
      </c>
      <c r="E238" s="249">
        <v>0.217</v>
      </c>
      <c r="F238" s="48"/>
    </row>
    <row r="239" spans="1:6" s="14" customFormat="1" ht="15.75">
      <c r="A239" s="7">
        <f t="shared" si="3"/>
        <v>212</v>
      </c>
      <c r="B239" s="65"/>
      <c r="C239" s="61" t="s">
        <v>565</v>
      </c>
      <c r="D239" s="85" t="s">
        <v>493</v>
      </c>
      <c r="E239" s="249">
        <f>SUM(E240:E242)</f>
        <v>0.51100000000000001</v>
      </c>
      <c r="F239" s="48"/>
    </row>
    <row r="240" spans="1:6" s="14" customFormat="1" ht="15.75">
      <c r="A240" s="7">
        <f t="shared" si="3"/>
        <v>213</v>
      </c>
      <c r="B240" s="65"/>
      <c r="C240" s="178" t="s">
        <v>667</v>
      </c>
      <c r="D240" s="85" t="s">
        <v>493</v>
      </c>
      <c r="E240" s="249">
        <v>0.28999999999999998</v>
      </c>
      <c r="F240" s="48"/>
    </row>
    <row r="241" spans="1:6" s="14" customFormat="1" ht="15.75">
      <c r="A241" s="7">
        <f t="shared" si="3"/>
        <v>214</v>
      </c>
      <c r="B241" s="65"/>
      <c r="C241" s="178" t="s">
        <v>659</v>
      </c>
      <c r="D241" s="85" t="s">
        <v>493</v>
      </c>
      <c r="E241" s="249">
        <v>0.121</v>
      </c>
      <c r="F241" s="48"/>
    </row>
    <row r="242" spans="1:6" s="14" customFormat="1" ht="15.75">
      <c r="A242" s="7">
        <f t="shared" si="3"/>
        <v>215</v>
      </c>
      <c r="B242" s="65"/>
      <c r="C242" s="178" t="s">
        <v>660</v>
      </c>
      <c r="D242" s="85" t="s">
        <v>493</v>
      </c>
      <c r="E242" s="249">
        <v>0.1</v>
      </c>
      <c r="F242" s="48"/>
    </row>
    <row r="243" spans="1:6" s="14" customFormat="1" ht="25.5">
      <c r="A243" s="76"/>
      <c r="B243" s="76" t="s">
        <v>931</v>
      </c>
      <c r="C243" s="77" t="s">
        <v>1020</v>
      </c>
      <c r="D243" s="78"/>
      <c r="E243" s="247"/>
      <c r="F243" s="48"/>
    </row>
    <row r="244" spans="1:6" s="14" customFormat="1" ht="15.75">
      <c r="A244" s="7">
        <f>A242+1</f>
        <v>216</v>
      </c>
      <c r="B244" s="65"/>
      <c r="C244" s="61" t="s">
        <v>519</v>
      </c>
      <c r="D244" s="85" t="s">
        <v>493</v>
      </c>
      <c r="E244" s="249">
        <f>SUM(E245:E249)</f>
        <v>2.9379999999999997</v>
      </c>
      <c r="F244" s="48"/>
    </row>
    <row r="245" spans="1:6" s="14" customFormat="1" ht="15.75">
      <c r="A245" s="7">
        <f t="shared" si="3"/>
        <v>217</v>
      </c>
      <c r="B245" s="65"/>
      <c r="C245" s="178" t="s">
        <v>663</v>
      </c>
      <c r="D245" s="85" t="s">
        <v>493</v>
      </c>
      <c r="E245" s="249">
        <v>1.012</v>
      </c>
      <c r="F245" s="48"/>
    </row>
    <row r="246" spans="1:6" s="14" customFormat="1" ht="15.75">
      <c r="A246" s="7">
        <f t="shared" si="3"/>
        <v>218</v>
      </c>
      <c r="B246" s="65"/>
      <c r="C246" s="178" t="s">
        <v>664</v>
      </c>
      <c r="D246" s="85" t="s">
        <v>493</v>
      </c>
      <c r="E246" s="249">
        <v>1.5840000000000001</v>
      </c>
      <c r="F246" s="48"/>
    </row>
    <row r="247" spans="1:6" s="14" customFormat="1" ht="15.75">
      <c r="A247" s="7">
        <f t="shared" si="3"/>
        <v>219</v>
      </c>
      <c r="B247" s="65"/>
      <c r="C247" s="15" t="s">
        <v>553</v>
      </c>
      <c r="D247" s="85" t="s">
        <v>1021</v>
      </c>
      <c r="E247" s="11">
        <v>0.17</v>
      </c>
      <c r="F247" s="48"/>
    </row>
    <row r="248" spans="1:6" s="14" customFormat="1" ht="15.75">
      <c r="A248" s="7">
        <f t="shared" si="3"/>
        <v>220</v>
      </c>
      <c r="B248" s="65"/>
      <c r="C248" s="55" t="s">
        <v>591</v>
      </c>
      <c r="D248" s="85" t="s">
        <v>1021</v>
      </c>
      <c r="E248" s="11">
        <v>0.11</v>
      </c>
      <c r="F248" s="48"/>
    </row>
    <row r="249" spans="1:6" s="14" customFormat="1" ht="15.75">
      <c r="A249" s="7">
        <f t="shared" si="3"/>
        <v>221</v>
      </c>
      <c r="B249" s="65"/>
      <c r="C249" s="55" t="s">
        <v>592</v>
      </c>
      <c r="D249" s="85" t="s">
        <v>1021</v>
      </c>
      <c r="E249" s="11">
        <v>6.2E-2</v>
      </c>
      <c r="F249" s="48"/>
    </row>
    <row r="250" spans="1:6" s="14" customFormat="1" ht="25.5">
      <c r="A250" s="76"/>
      <c r="B250" s="76" t="s">
        <v>931</v>
      </c>
      <c r="C250" s="77" t="s">
        <v>555</v>
      </c>
      <c r="D250" s="78"/>
      <c r="E250" s="247"/>
      <c r="F250" s="48"/>
    </row>
    <row r="251" spans="1:6" s="14" customFormat="1" ht="15.75">
      <c r="A251" s="7">
        <f>A249+1</f>
        <v>222</v>
      </c>
      <c r="B251" s="65"/>
      <c r="C251" s="15" t="s">
        <v>523</v>
      </c>
      <c r="D251" s="85" t="s">
        <v>175</v>
      </c>
      <c r="E251" s="250">
        <v>59.01</v>
      </c>
      <c r="F251" s="48"/>
    </row>
    <row r="252" spans="1:6" s="14" customFormat="1" ht="15.75">
      <c r="A252" s="7">
        <f t="shared" si="3"/>
        <v>223</v>
      </c>
      <c r="B252" s="65"/>
      <c r="C252" s="12" t="s">
        <v>559</v>
      </c>
      <c r="D252" s="85" t="s">
        <v>176</v>
      </c>
      <c r="E252" s="248">
        <v>9.0999999999999998E-2</v>
      </c>
      <c r="F252" s="48"/>
    </row>
    <row r="253" spans="1:6" s="14" customFormat="1" ht="15.75">
      <c r="A253" s="7">
        <f t="shared" si="3"/>
        <v>224</v>
      </c>
      <c r="B253" s="65"/>
      <c r="C253" s="15" t="s">
        <v>524</v>
      </c>
      <c r="D253" s="85" t="s">
        <v>175</v>
      </c>
      <c r="E253" s="250">
        <v>14.05</v>
      </c>
      <c r="F253" s="48"/>
    </row>
    <row r="254" spans="1:6" s="14" customFormat="1" ht="15.75">
      <c r="A254" s="7">
        <f t="shared" si="3"/>
        <v>225</v>
      </c>
      <c r="B254" s="65"/>
      <c r="C254" s="12" t="s">
        <v>560</v>
      </c>
      <c r="D254" s="85" t="s">
        <v>176</v>
      </c>
      <c r="E254" s="248">
        <v>3.3000000000000002E-2</v>
      </c>
      <c r="F254" s="48"/>
    </row>
    <row r="255" spans="1:6" s="14" customFormat="1" ht="15.75">
      <c r="A255" s="7">
        <f t="shared" si="3"/>
        <v>226</v>
      </c>
      <c r="B255" s="65"/>
      <c r="C255" s="15" t="s">
        <v>556</v>
      </c>
      <c r="D255" s="85" t="s">
        <v>175</v>
      </c>
      <c r="E255" s="248">
        <v>8.14</v>
      </c>
      <c r="F255" s="48"/>
    </row>
    <row r="256" spans="1:6" s="14" customFormat="1" ht="15.75">
      <c r="A256" s="7">
        <f t="shared" si="3"/>
        <v>227</v>
      </c>
      <c r="B256" s="65"/>
      <c r="C256" s="12" t="s">
        <v>561</v>
      </c>
      <c r="D256" s="85" t="s">
        <v>176</v>
      </c>
      <c r="E256" s="248">
        <v>0.01</v>
      </c>
      <c r="F256" s="48"/>
    </row>
    <row r="257" spans="1:6" s="14" customFormat="1" ht="25.5">
      <c r="A257" s="76"/>
      <c r="B257" s="76" t="s">
        <v>931</v>
      </c>
      <c r="C257" s="77" t="s">
        <v>557</v>
      </c>
      <c r="D257" s="78"/>
      <c r="E257" s="247"/>
      <c r="F257" s="48"/>
    </row>
    <row r="258" spans="1:6" s="14" customFormat="1" ht="15.75">
      <c r="A258" s="7">
        <f>A256+1</f>
        <v>228</v>
      </c>
      <c r="B258" s="30"/>
      <c r="C258" s="57" t="s">
        <v>496</v>
      </c>
      <c r="D258" s="83" t="s">
        <v>493</v>
      </c>
      <c r="E258" s="253">
        <f>SUM(E259:E261)</f>
        <v>0.13400000000000001</v>
      </c>
      <c r="F258" s="48"/>
    </row>
    <row r="259" spans="1:6" s="14" customFormat="1" ht="15.75">
      <c r="A259" s="7">
        <f t="shared" si="3"/>
        <v>229</v>
      </c>
      <c r="B259" s="31"/>
      <c r="C259" s="55" t="s">
        <v>653</v>
      </c>
      <c r="D259" s="85" t="s">
        <v>493</v>
      </c>
      <c r="E259" s="250">
        <v>9.0999999999999998E-2</v>
      </c>
      <c r="F259" s="48"/>
    </row>
    <row r="260" spans="1:6" s="14" customFormat="1" ht="15.75">
      <c r="A260" s="7">
        <f t="shared" si="3"/>
        <v>230</v>
      </c>
      <c r="B260" s="31"/>
      <c r="C260" s="55" t="s">
        <v>654</v>
      </c>
      <c r="D260" s="85" t="s">
        <v>493</v>
      </c>
      <c r="E260" s="250">
        <v>3.3000000000000002E-2</v>
      </c>
      <c r="F260" s="48"/>
    </row>
    <row r="261" spans="1:6" s="14" customFormat="1" ht="15.75">
      <c r="A261" s="7">
        <f t="shared" si="3"/>
        <v>231</v>
      </c>
      <c r="B261" s="31"/>
      <c r="C261" s="55" t="s">
        <v>655</v>
      </c>
      <c r="D261" s="85" t="s">
        <v>493</v>
      </c>
      <c r="E261" s="250">
        <v>0.01</v>
      </c>
      <c r="F261" s="48"/>
    </row>
    <row r="262" spans="1:6" s="14" customFormat="1" ht="25.5">
      <c r="A262" s="76"/>
      <c r="B262" s="76" t="s">
        <v>931</v>
      </c>
      <c r="C262" s="77" t="s">
        <v>558</v>
      </c>
      <c r="D262" s="78"/>
      <c r="E262" s="247"/>
      <c r="F262" s="48"/>
    </row>
    <row r="263" spans="1:6" s="14" customFormat="1" ht="15.75">
      <c r="A263" s="7">
        <f>A261+1</f>
        <v>232</v>
      </c>
      <c r="B263" s="65"/>
      <c r="C263" s="61" t="s">
        <v>501</v>
      </c>
      <c r="D263" s="85" t="s">
        <v>176</v>
      </c>
      <c r="E263" s="252">
        <f>SUM(E264:E266)</f>
        <v>0.21100000000000002</v>
      </c>
      <c r="F263" s="48"/>
    </row>
    <row r="264" spans="1:6" s="14" customFormat="1" ht="15.75">
      <c r="A264" s="7">
        <f t="shared" si="3"/>
        <v>233</v>
      </c>
      <c r="B264" s="65"/>
      <c r="C264" s="55" t="s">
        <v>656</v>
      </c>
      <c r="D264" s="85" t="s">
        <v>176</v>
      </c>
      <c r="E264" s="248">
        <v>9.0999999999999998E-2</v>
      </c>
      <c r="F264" s="48"/>
    </row>
    <row r="265" spans="1:6" s="14" customFormat="1" ht="15.75">
      <c r="A265" s="7">
        <f t="shared" si="3"/>
        <v>234</v>
      </c>
      <c r="B265" s="65"/>
      <c r="C265" s="55" t="s">
        <v>657</v>
      </c>
      <c r="D265" s="85" t="s">
        <v>176</v>
      </c>
      <c r="E265" s="250">
        <v>4.5999999999999999E-2</v>
      </c>
      <c r="F265" s="48"/>
    </row>
    <row r="266" spans="1:6" s="14" customFormat="1" ht="15.75">
      <c r="A266" s="7">
        <f t="shared" si="3"/>
        <v>235</v>
      </c>
      <c r="B266" s="65"/>
      <c r="C266" s="178" t="s">
        <v>658</v>
      </c>
      <c r="D266" s="85" t="s">
        <v>493</v>
      </c>
      <c r="E266" s="249">
        <v>7.3999999999999996E-2</v>
      </c>
      <c r="F266" s="48"/>
    </row>
    <row r="267" spans="1:6" s="14" customFormat="1" ht="25.5">
      <c r="A267" s="76"/>
      <c r="B267" s="76" t="s">
        <v>931</v>
      </c>
      <c r="C267" s="77" t="s">
        <v>558</v>
      </c>
      <c r="D267" s="78"/>
      <c r="E267" s="247"/>
      <c r="F267" s="48"/>
    </row>
    <row r="268" spans="1:6" s="14" customFormat="1" ht="15.75">
      <c r="A268" s="7">
        <f>A266+1</f>
        <v>236</v>
      </c>
      <c r="B268" s="65"/>
      <c r="C268" s="61" t="s">
        <v>519</v>
      </c>
      <c r="D268" s="85" t="s">
        <v>176</v>
      </c>
      <c r="E268" s="248">
        <f>SUM(E269:E271)</f>
        <v>4.734</v>
      </c>
      <c r="F268" s="48"/>
    </row>
    <row r="269" spans="1:6" s="14" customFormat="1" ht="15.75">
      <c r="A269" s="7">
        <f t="shared" si="3"/>
        <v>237</v>
      </c>
      <c r="B269" s="65"/>
      <c r="C269" s="55" t="s">
        <v>1023</v>
      </c>
      <c r="D269" s="85" t="s">
        <v>176</v>
      </c>
      <c r="E269" s="250">
        <v>1.5840000000000001</v>
      </c>
      <c r="F269" s="48"/>
    </row>
    <row r="270" spans="1:6" s="14" customFormat="1" ht="15.75">
      <c r="A270" s="7">
        <f t="shared" si="3"/>
        <v>238</v>
      </c>
      <c r="B270" s="65"/>
      <c r="C270" s="178" t="s">
        <v>1024</v>
      </c>
      <c r="D270" s="85" t="s">
        <v>493</v>
      </c>
      <c r="E270" s="249">
        <v>0.84899999999999998</v>
      </c>
      <c r="F270" s="48"/>
    </row>
    <row r="271" spans="1:6" s="14" customFormat="1" ht="15.75">
      <c r="A271" s="7">
        <f t="shared" ref="A271:A333" si="4">A270+1</f>
        <v>239</v>
      </c>
      <c r="B271" s="65"/>
      <c r="C271" s="178" t="s">
        <v>1025</v>
      </c>
      <c r="D271" s="85" t="s">
        <v>1022</v>
      </c>
      <c r="E271" s="249">
        <v>2.3010000000000002</v>
      </c>
      <c r="F271" s="48"/>
    </row>
    <row r="272" spans="1:6" s="14" customFormat="1" ht="25.5">
      <c r="A272" s="76"/>
      <c r="B272" s="76" t="s">
        <v>1049</v>
      </c>
      <c r="C272" s="77" t="s">
        <v>566</v>
      </c>
      <c r="D272" s="78"/>
      <c r="E272" s="247"/>
      <c r="F272" s="48"/>
    </row>
    <row r="273" spans="1:6" s="14" customFormat="1">
      <c r="A273" s="7">
        <f>A271+1</f>
        <v>240</v>
      </c>
      <c r="B273" s="65"/>
      <c r="C273" s="61" t="s">
        <v>567</v>
      </c>
      <c r="D273" s="62" t="s">
        <v>11</v>
      </c>
      <c r="E273" s="249">
        <f>SUM(E274:E277)</f>
        <v>763.07</v>
      </c>
      <c r="F273" s="48"/>
    </row>
    <row r="274" spans="1:6" s="14" customFormat="1">
      <c r="A274" s="7">
        <f t="shared" si="4"/>
        <v>241</v>
      </c>
      <c r="B274" s="65"/>
      <c r="C274" s="178" t="s">
        <v>1026</v>
      </c>
      <c r="D274" s="62" t="s">
        <v>11</v>
      </c>
      <c r="E274" s="249">
        <v>70.34</v>
      </c>
      <c r="F274" s="48"/>
    </row>
    <row r="275" spans="1:6" s="14" customFormat="1">
      <c r="A275" s="7">
        <f t="shared" si="4"/>
        <v>242</v>
      </c>
      <c r="B275" s="65"/>
      <c r="C275" s="178" t="s">
        <v>1028</v>
      </c>
      <c r="D275" s="62" t="s">
        <v>11</v>
      </c>
      <c r="E275" s="249">
        <v>311.22000000000003</v>
      </c>
      <c r="F275" s="48"/>
    </row>
    <row r="276" spans="1:6" s="14" customFormat="1">
      <c r="A276" s="7">
        <f t="shared" si="4"/>
        <v>243</v>
      </c>
      <c r="B276" s="65"/>
      <c r="C276" s="178" t="s">
        <v>1027</v>
      </c>
      <c r="D276" s="62" t="s">
        <v>11</v>
      </c>
      <c r="E276" s="249">
        <v>70.17</v>
      </c>
      <c r="F276" s="48"/>
    </row>
    <row r="277" spans="1:6" s="14" customFormat="1">
      <c r="A277" s="7">
        <f t="shared" si="4"/>
        <v>244</v>
      </c>
      <c r="B277" s="65"/>
      <c r="C277" s="178" t="s">
        <v>1029</v>
      </c>
      <c r="D277" s="62" t="s">
        <v>11</v>
      </c>
      <c r="E277" s="249">
        <v>311.33999999999997</v>
      </c>
      <c r="F277" s="48"/>
    </row>
    <row r="278" spans="1:6" s="14" customFormat="1" ht="25.5">
      <c r="A278" s="76"/>
      <c r="B278" s="76" t="s">
        <v>1049</v>
      </c>
      <c r="C278" s="77" t="s">
        <v>1030</v>
      </c>
      <c r="D278" s="78"/>
      <c r="E278" s="247"/>
      <c r="F278" s="48"/>
    </row>
    <row r="279" spans="1:6" s="14" customFormat="1">
      <c r="A279" s="7">
        <f>A277+1</f>
        <v>245</v>
      </c>
      <c r="B279" s="65"/>
      <c r="C279" s="61" t="s">
        <v>568</v>
      </c>
      <c r="D279" s="62" t="s">
        <v>11</v>
      </c>
      <c r="E279" s="249">
        <f>SUM(E280:E290)</f>
        <v>1747.5099999999995</v>
      </c>
      <c r="F279" s="48"/>
    </row>
    <row r="280" spans="1:6" s="14" customFormat="1">
      <c r="A280" s="7">
        <f t="shared" si="4"/>
        <v>246</v>
      </c>
      <c r="B280" s="65"/>
      <c r="C280" s="178" t="s">
        <v>668</v>
      </c>
      <c r="D280" s="62" t="s">
        <v>11</v>
      </c>
      <c r="E280" s="249">
        <v>297.81</v>
      </c>
      <c r="F280" s="48"/>
    </row>
    <row r="281" spans="1:6" s="14" customFormat="1">
      <c r="A281" s="7">
        <f t="shared" si="4"/>
        <v>247</v>
      </c>
      <c r="B281" s="65"/>
      <c r="C281" s="178" t="s">
        <v>669</v>
      </c>
      <c r="D281" s="62" t="s">
        <v>11</v>
      </c>
      <c r="E281" s="249">
        <v>205.16</v>
      </c>
      <c r="F281" s="48"/>
    </row>
    <row r="282" spans="1:6" s="14" customFormat="1">
      <c r="A282" s="7">
        <f t="shared" si="4"/>
        <v>248</v>
      </c>
      <c r="B282" s="65"/>
      <c r="C282" s="178" t="s">
        <v>670</v>
      </c>
      <c r="D282" s="62" t="s">
        <v>11</v>
      </c>
      <c r="E282" s="249">
        <v>181.2</v>
      </c>
      <c r="F282" s="48"/>
    </row>
    <row r="283" spans="1:6" s="14" customFormat="1">
      <c r="A283" s="7">
        <f t="shared" si="4"/>
        <v>249</v>
      </c>
      <c r="B283" s="65"/>
      <c r="C283" s="178" t="s">
        <v>671</v>
      </c>
      <c r="D283" s="62" t="s">
        <v>11</v>
      </c>
      <c r="E283" s="249">
        <v>221.72</v>
      </c>
      <c r="F283" s="48"/>
    </row>
    <row r="284" spans="1:6" s="14" customFormat="1">
      <c r="A284" s="7">
        <f t="shared" si="4"/>
        <v>250</v>
      </c>
      <c r="B284" s="65"/>
      <c r="C284" s="178" t="s">
        <v>672</v>
      </c>
      <c r="D284" s="62" t="s">
        <v>11</v>
      </c>
      <c r="E284" s="249">
        <v>265.89999999999998</v>
      </c>
      <c r="F284" s="48"/>
    </row>
    <row r="285" spans="1:6" s="14" customFormat="1">
      <c r="A285" s="7">
        <f t="shared" si="4"/>
        <v>251</v>
      </c>
      <c r="B285" s="65"/>
      <c r="C285" s="178" t="s">
        <v>673</v>
      </c>
      <c r="D285" s="62" t="s">
        <v>11</v>
      </c>
      <c r="E285" s="249">
        <v>295.87</v>
      </c>
      <c r="F285" s="48"/>
    </row>
    <row r="286" spans="1:6" s="14" customFormat="1">
      <c r="A286" s="7">
        <f t="shared" si="4"/>
        <v>252</v>
      </c>
      <c r="B286" s="65"/>
      <c r="C286" s="178" t="s">
        <v>674</v>
      </c>
      <c r="D286" s="62" t="s">
        <v>11</v>
      </c>
      <c r="E286" s="249">
        <v>203.14</v>
      </c>
      <c r="F286" s="48"/>
    </row>
    <row r="287" spans="1:6" s="14" customFormat="1">
      <c r="A287" s="7">
        <f t="shared" si="4"/>
        <v>253</v>
      </c>
      <c r="B287" s="65"/>
      <c r="C287" s="178" t="s">
        <v>675</v>
      </c>
      <c r="D287" s="62" t="s">
        <v>11</v>
      </c>
      <c r="E287" s="249">
        <v>24.24</v>
      </c>
      <c r="F287" s="48"/>
    </row>
    <row r="288" spans="1:6" s="14" customFormat="1">
      <c r="A288" s="7">
        <f t="shared" si="4"/>
        <v>254</v>
      </c>
      <c r="B288" s="65"/>
      <c r="C288" s="178" t="s">
        <v>676</v>
      </c>
      <c r="D288" s="62" t="s">
        <v>11</v>
      </c>
      <c r="E288" s="249">
        <v>23.78</v>
      </c>
      <c r="F288" s="48"/>
    </row>
    <row r="289" spans="1:6" s="14" customFormat="1">
      <c r="A289" s="7">
        <f t="shared" si="4"/>
        <v>255</v>
      </c>
      <c r="B289" s="65"/>
      <c r="C289" s="178" t="s">
        <v>677</v>
      </c>
      <c r="D289" s="62" t="s">
        <v>11</v>
      </c>
      <c r="E289" s="249">
        <v>14.36</v>
      </c>
      <c r="F289" s="48"/>
    </row>
    <row r="290" spans="1:6" s="14" customFormat="1">
      <c r="A290" s="7">
        <f t="shared" si="4"/>
        <v>256</v>
      </c>
      <c r="B290" s="65"/>
      <c r="C290" s="178" t="s">
        <v>678</v>
      </c>
      <c r="D290" s="62" t="s">
        <v>11</v>
      </c>
      <c r="E290" s="249">
        <v>14.33</v>
      </c>
      <c r="F290" s="48"/>
    </row>
    <row r="291" spans="1:6" s="14" customFormat="1" ht="25.5">
      <c r="A291" s="76"/>
      <c r="B291" s="76" t="s">
        <v>379</v>
      </c>
      <c r="C291" s="77" t="s">
        <v>1031</v>
      </c>
      <c r="D291" s="78"/>
      <c r="E291" s="247"/>
      <c r="F291" s="48"/>
    </row>
    <row r="292" spans="1:6" s="14" customFormat="1" ht="15.75">
      <c r="A292" s="7">
        <f>A290+1</f>
        <v>257</v>
      </c>
      <c r="B292" s="65"/>
      <c r="C292" s="61" t="s">
        <v>1032</v>
      </c>
      <c r="D292" s="85" t="s">
        <v>176</v>
      </c>
      <c r="E292" s="249">
        <v>2.1</v>
      </c>
      <c r="F292" s="48"/>
    </row>
    <row r="293" spans="1:6" s="14" customFormat="1" ht="15.75">
      <c r="A293" s="7">
        <f t="shared" si="4"/>
        <v>258</v>
      </c>
      <c r="B293" s="65"/>
      <c r="C293" s="178" t="s">
        <v>409</v>
      </c>
      <c r="D293" s="85" t="s">
        <v>176</v>
      </c>
      <c r="E293" s="249">
        <f>E292</f>
        <v>2.1</v>
      </c>
      <c r="F293" s="48"/>
    </row>
    <row r="294" spans="1:6" s="14" customFormat="1">
      <c r="A294" s="7">
        <f t="shared" si="4"/>
        <v>259</v>
      </c>
      <c r="B294" s="65"/>
      <c r="C294" s="179" t="s">
        <v>1033</v>
      </c>
      <c r="D294" s="62" t="s">
        <v>9</v>
      </c>
      <c r="E294" s="249">
        <f>138985/1000</f>
        <v>138.98500000000001</v>
      </c>
      <c r="F294" s="48"/>
    </row>
    <row r="295" spans="1:6" s="14" customFormat="1">
      <c r="A295" s="7">
        <f t="shared" si="4"/>
        <v>260</v>
      </c>
      <c r="B295" s="65"/>
      <c r="C295" s="179" t="s">
        <v>699</v>
      </c>
      <c r="D295" s="62" t="s">
        <v>9</v>
      </c>
      <c r="E295" s="249">
        <f>264359/1000</f>
        <v>264.35899999999998</v>
      </c>
      <c r="F295" s="48"/>
    </row>
    <row r="296" spans="1:6" s="14" customFormat="1" ht="25.5">
      <c r="A296" s="76"/>
      <c r="B296" s="76" t="s">
        <v>379</v>
      </c>
      <c r="C296" s="77" t="s">
        <v>1036</v>
      </c>
      <c r="D296" s="78"/>
      <c r="E296" s="247"/>
      <c r="F296" s="48"/>
    </row>
    <row r="297" spans="1:6" s="14" customFormat="1" ht="15.75">
      <c r="A297" s="7">
        <f>A295+1</f>
        <v>261</v>
      </c>
      <c r="B297" s="65"/>
      <c r="C297" s="61" t="s">
        <v>1037</v>
      </c>
      <c r="D297" s="85" t="s">
        <v>176</v>
      </c>
      <c r="E297" s="249">
        <v>3.42</v>
      </c>
      <c r="F297" s="48"/>
    </row>
    <row r="298" spans="1:6" s="14" customFormat="1" ht="15.75">
      <c r="A298" s="7">
        <f t="shared" si="4"/>
        <v>262</v>
      </c>
      <c r="B298" s="65"/>
      <c r="C298" s="178" t="s">
        <v>409</v>
      </c>
      <c r="D298" s="85" t="s">
        <v>176</v>
      </c>
      <c r="E298" s="249">
        <f>E297</f>
        <v>3.42</v>
      </c>
      <c r="F298" s="48"/>
    </row>
    <row r="299" spans="1:6" s="14" customFormat="1">
      <c r="A299" s="7">
        <f t="shared" si="4"/>
        <v>263</v>
      </c>
      <c r="B299" s="65"/>
      <c r="C299" s="179" t="s">
        <v>1033</v>
      </c>
      <c r="D299" s="62" t="s">
        <v>9</v>
      </c>
      <c r="E299" s="249">
        <f>115788/1000</f>
        <v>115.788</v>
      </c>
      <c r="F299" s="48"/>
    </row>
    <row r="300" spans="1:6" s="14" customFormat="1">
      <c r="A300" s="7">
        <f t="shared" si="4"/>
        <v>264</v>
      </c>
      <c r="B300" s="65"/>
      <c r="C300" s="179" t="s">
        <v>1034</v>
      </c>
      <c r="D300" s="62" t="s">
        <v>9</v>
      </c>
      <c r="E300" s="249">
        <f>366712/1000</f>
        <v>366.71199999999999</v>
      </c>
      <c r="F300" s="48"/>
    </row>
    <row r="301" spans="1:6" s="14" customFormat="1" ht="25.5">
      <c r="A301" s="76"/>
      <c r="B301" s="76" t="s">
        <v>379</v>
      </c>
      <c r="C301" s="77" t="s">
        <v>569</v>
      </c>
      <c r="D301" s="78"/>
      <c r="E301" s="247"/>
      <c r="F301" s="48"/>
    </row>
    <row r="302" spans="1:6" s="14" customFormat="1" ht="38.25">
      <c r="A302" s="7">
        <f>A300+1</f>
        <v>265</v>
      </c>
      <c r="B302" s="65"/>
      <c r="C302" s="61" t="s">
        <v>695</v>
      </c>
      <c r="D302" s="85" t="s">
        <v>176</v>
      </c>
      <c r="E302" s="249">
        <v>46.1</v>
      </c>
      <c r="F302" s="48"/>
    </row>
    <row r="303" spans="1:6" s="14" customFormat="1" ht="15.75">
      <c r="A303" s="7">
        <f t="shared" si="4"/>
        <v>266</v>
      </c>
      <c r="B303" s="65"/>
      <c r="C303" s="178" t="s">
        <v>402</v>
      </c>
      <c r="D303" s="85" t="s">
        <v>176</v>
      </c>
      <c r="E303" s="249">
        <f>E302</f>
        <v>46.1</v>
      </c>
      <c r="F303" s="48"/>
    </row>
    <row r="304" spans="1:6" s="14" customFormat="1" ht="51">
      <c r="A304" s="7">
        <f t="shared" si="4"/>
        <v>267</v>
      </c>
      <c r="B304" s="65"/>
      <c r="C304" s="61" t="s">
        <v>696</v>
      </c>
      <c r="D304" s="85" t="s">
        <v>176</v>
      </c>
      <c r="E304" s="249">
        <v>21.978999999999999</v>
      </c>
      <c r="F304" s="48"/>
    </row>
    <row r="305" spans="1:6" s="14" customFormat="1" ht="15.75">
      <c r="A305" s="7">
        <f t="shared" si="4"/>
        <v>268</v>
      </c>
      <c r="B305" s="65"/>
      <c r="C305" s="178" t="s">
        <v>409</v>
      </c>
      <c r="D305" s="85" t="s">
        <v>176</v>
      </c>
      <c r="E305" s="249">
        <f>E304</f>
        <v>21.978999999999999</v>
      </c>
      <c r="F305" s="48"/>
    </row>
    <row r="306" spans="1:6" s="14" customFormat="1" ht="51">
      <c r="A306" s="7">
        <f t="shared" si="4"/>
        <v>269</v>
      </c>
      <c r="B306" s="65"/>
      <c r="C306" s="61" t="s">
        <v>697</v>
      </c>
      <c r="D306" s="85" t="s">
        <v>176</v>
      </c>
      <c r="E306" s="249">
        <v>8.3829999999999991</v>
      </c>
      <c r="F306" s="48"/>
    </row>
    <row r="307" spans="1:6" s="14" customFormat="1" ht="15.75">
      <c r="A307" s="7">
        <f t="shared" si="4"/>
        <v>270</v>
      </c>
      <c r="B307" s="65"/>
      <c r="C307" s="178" t="s">
        <v>409</v>
      </c>
      <c r="D307" s="85" t="s">
        <v>176</v>
      </c>
      <c r="E307" s="249">
        <f>E306</f>
        <v>8.3829999999999991</v>
      </c>
      <c r="F307" s="48"/>
    </row>
    <row r="308" spans="1:6" s="14" customFormat="1">
      <c r="A308" s="7">
        <f t="shared" si="4"/>
        <v>271</v>
      </c>
      <c r="B308" s="65"/>
      <c r="C308" s="178" t="s">
        <v>1034</v>
      </c>
      <c r="D308" s="85" t="s">
        <v>9</v>
      </c>
      <c r="E308" s="249">
        <f>1176479/1000</f>
        <v>1176.479</v>
      </c>
      <c r="F308" s="48"/>
    </row>
    <row r="309" spans="1:6" s="14" customFormat="1">
      <c r="A309" s="7">
        <f t="shared" si="4"/>
        <v>272</v>
      </c>
      <c r="B309" s="65"/>
      <c r="C309" s="178" t="s">
        <v>699</v>
      </c>
      <c r="D309" s="85" t="s">
        <v>9</v>
      </c>
      <c r="E309" s="249">
        <f>2234620/1000</f>
        <v>2234.62</v>
      </c>
      <c r="F309" s="48"/>
    </row>
    <row r="310" spans="1:6" s="14" customFormat="1">
      <c r="A310" s="7">
        <f t="shared" si="4"/>
        <v>273</v>
      </c>
      <c r="B310" s="65"/>
      <c r="C310" s="178" t="s">
        <v>1035</v>
      </c>
      <c r="D310" s="85" t="s">
        <v>9</v>
      </c>
      <c r="E310" s="249">
        <f>2652817/1000</f>
        <v>2652.817</v>
      </c>
      <c r="F310" s="48"/>
    </row>
    <row r="311" spans="1:6" s="14" customFormat="1">
      <c r="A311" s="7">
        <f t="shared" si="4"/>
        <v>274</v>
      </c>
      <c r="B311" s="65"/>
      <c r="C311" s="178" t="s">
        <v>700</v>
      </c>
      <c r="D311" s="85" t="s">
        <v>9</v>
      </c>
      <c r="E311" s="249">
        <f>1376547/1000</f>
        <v>1376.547</v>
      </c>
      <c r="F311" s="48"/>
    </row>
    <row r="312" spans="1:6" s="14" customFormat="1" ht="51">
      <c r="A312" s="7">
        <f t="shared" si="4"/>
        <v>275</v>
      </c>
      <c r="B312" s="65"/>
      <c r="C312" s="61" t="s">
        <v>1038</v>
      </c>
      <c r="D312" s="62" t="s">
        <v>10</v>
      </c>
      <c r="E312" s="249">
        <v>12.257999999999999</v>
      </c>
      <c r="F312" s="48"/>
    </row>
    <row r="313" spans="1:6" s="14" customFormat="1" ht="15.75">
      <c r="A313" s="7">
        <f t="shared" si="4"/>
        <v>276</v>
      </c>
      <c r="B313" s="65"/>
      <c r="C313" s="178" t="s">
        <v>409</v>
      </c>
      <c r="D313" s="85" t="s">
        <v>176</v>
      </c>
      <c r="E313" s="249">
        <f>E312</f>
        <v>12.257999999999999</v>
      </c>
      <c r="F313" s="48"/>
    </row>
    <row r="314" spans="1:6" s="14" customFormat="1" ht="38.25">
      <c r="A314" s="7">
        <f t="shared" si="4"/>
        <v>277</v>
      </c>
      <c r="B314" s="65"/>
      <c r="C314" s="61" t="s">
        <v>698</v>
      </c>
      <c r="D314" s="85" t="s">
        <v>176</v>
      </c>
      <c r="E314" s="252">
        <v>19.399999999999999</v>
      </c>
      <c r="F314" s="48"/>
    </row>
    <row r="315" spans="1:6" s="14" customFormat="1">
      <c r="A315" s="7">
        <f t="shared" si="4"/>
        <v>278</v>
      </c>
      <c r="B315" s="65"/>
      <c r="C315" s="178" t="s">
        <v>409</v>
      </c>
      <c r="D315" s="62" t="s">
        <v>10</v>
      </c>
      <c r="E315" s="252">
        <f>E314</f>
        <v>19.399999999999999</v>
      </c>
      <c r="F315" s="48"/>
    </row>
    <row r="316" spans="1:6" s="14" customFormat="1">
      <c r="A316" s="7">
        <f t="shared" si="4"/>
        <v>279</v>
      </c>
      <c r="B316" s="65"/>
      <c r="C316" s="179" t="s">
        <v>1034</v>
      </c>
      <c r="D316" s="85" t="s">
        <v>9</v>
      </c>
      <c r="E316" s="249">
        <f>17918/1000</f>
        <v>17.917999999999999</v>
      </c>
      <c r="F316" s="48"/>
    </row>
    <row r="317" spans="1:6" s="14" customFormat="1">
      <c r="A317" s="7">
        <f t="shared" si="4"/>
        <v>280</v>
      </c>
      <c r="B317" s="65"/>
      <c r="C317" s="179" t="s">
        <v>699</v>
      </c>
      <c r="D317" s="85" t="s">
        <v>9</v>
      </c>
      <c r="E317" s="249">
        <f>306030/1000</f>
        <v>306.02999999999997</v>
      </c>
      <c r="F317" s="48"/>
    </row>
    <row r="318" spans="1:6" s="14" customFormat="1">
      <c r="A318" s="7">
        <f t="shared" si="4"/>
        <v>281</v>
      </c>
      <c r="B318" s="65"/>
      <c r="C318" s="179" t="s">
        <v>1035</v>
      </c>
      <c r="D318" s="85" t="s">
        <v>9</v>
      </c>
      <c r="E318" s="249">
        <f>1705404/1000</f>
        <v>1705.404</v>
      </c>
      <c r="F318" s="48"/>
    </row>
    <row r="319" spans="1:6" s="14" customFormat="1">
      <c r="A319" s="7">
        <f t="shared" si="4"/>
        <v>282</v>
      </c>
      <c r="B319" s="65"/>
      <c r="C319" s="179" t="s">
        <v>1039</v>
      </c>
      <c r="D319" s="85" t="s">
        <v>9</v>
      </c>
      <c r="E319" s="249">
        <f>686654/1000</f>
        <v>686.654</v>
      </c>
      <c r="F319" s="48"/>
    </row>
    <row r="320" spans="1:6" s="14" customFormat="1" ht="25.5">
      <c r="A320" s="76"/>
      <c r="B320" s="76" t="s">
        <v>379</v>
      </c>
      <c r="C320" s="77" t="s">
        <v>570</v>
      </c>
      <c r="D320" s="78"/>
      <c r="E320" s="247"/>
      <c r="F320" s="48"/>
    </row>
    <row r="321" spans="1:6" s="14" customFormat="1" ht="15.75">
      <c r="A321" s="7">
        <f>A319+1</f>
        <v>283</v>
      </c>
      <c r="B321" s="65"/>
      <c r="C321" s="61" t="s">
        <v>483</v>
      </c>
      <c r="D321" s="85" t="s">
        <v>176</v>
      </c>
      <c r="E321" s="249">
        <v>1.4490000000000001</v>
      </c>
      <c r="F321" s="48"/>
    </row>
    <row r="322" spans="1:6" s="14" customFormat="1" ht="15.75">
      <c r="A322" s="7">
        <f t="shared" si="4"/>
        <v>284</v>
      </c>
      <c r="B322" s="65"/>
      <c r="C322" s="178" t="s">
        <v>409</v>
      </c>
      <c r="D322" s="85" t="s">
        <v>176</v>
      </c>
      <c r="E322" s="249">
        <f>E321</f>
        <v>1.4490000000000001</v>
      </c>
      <c r="F322" s="48"/>
    </row>
    <row r="323" spans="1:6" s="14" customFormat="1" ht="15.75">
      <c r="A323" s="7">
        <f t="shared" si="4"/>
        <v>285</v>
      </c>
      <c r="B323" s="65"/>
      <c r="C323" s="61" t="s">
        <v>1040</v>
      </c>
      <c r="D323" s="85" t="s">
        <v>176</v>
      </c>
      <c r="E323" s="249">
        <v>1.2070000000000001</v>
      </c>
      <c r="F323" s="48"/>
    </row>
    <row r="324" spans="1:6" s="14" customFormat="1" ht="15.75">
      <c r="A324" s="7">
        <f t="shared" si="4"/>
        <v>286</v>
      </c>
      <c r="B324" s="65"/>
      <c r="C324" s="178" t="s">
        <v>409</v>
      </c>
      <c r="D324" s="85" t="s">
        <v>176</v>
      </c>
      <c r="E324" s="249">
        <f>E323</f>
        <v>1.2070000000000001</v>
      </c>
      <c r="F324" s="48"/>
    </row>
    <row r="325" spans="1:6" s="14" customFormat="1" ht="15.75">
      <c r="A325" s="7">
        <f t="shared" si="4"/>
        <v>287</v>
      </c>
      <c r="B325" s="65"/>
      <c r="C325" s="61" t="s">
        <v>1041</v>
      </c>
      <c r="D325" s="85" t="s">
        <v>176</v>
      </c>
      <c r="E325" s="249">
        <v>7.1</v>
      </c>
      <c r="F325" s="48"/>
    </row>
    <row r="326" spans="1:6" s="14" customFormat="1" ht="15.75">
      <c r="A326" s="7">
        <f t="shared" si="4"/>
        <v>288</v>
      </c>
      <c r="B326" s="65"/>
      <c r="C326" s="178" t="s">
        <v>409</v>
      </c>
      <c r="D326" s="85" t="s">
        <v>176</v>
      </c>
      <c r="E326" s="249">
        <f>E325</f>
        <v>7.1</v>
      </c>
      <c r="F326" s="48"/>
    </row>
    <row r="327" spans="1:6" s="14" customFormat="1" ht="15.75">
      <c r="A327" s="7">
        <f t="shared" si="4"/>
        <v>289</v>
      </c>
      <c r="B327" s="65"/>
      <c r="C327" s="61" t="s">
        <v>1042</v>
      </c>
      <c r="D327" s="85" t="s">
        <v>176</v>
      </c>
      <c r="E327" s="249">
        <v>7.6</v>
      </c>
      <c r="F327" s="48"/>
    </row>
    <row r="328" spans="1:6" s="14" customFormat="1" ht="15.75">
      <c r="A328" s="7">
        <f t="shared" si="4"/>
        <v>290</v>
      </c>
      <c r="B328" s="65"/>
      <c r="C328" s="178" t="s">
        <v>409</v>
      </c>
      <c r="D328" s="85" t="s">
        <v>176</v>
      </c>
      <c r="E328" s="249">
        <f>E327</f>
        <v>7.6</v>
      </c>
      <c r="F328" s="48"/>
    </row>
    <row r="329" spans="1:6" s="14" customFormat="1" ht="15.75">
      <c r="A329" s="7">
        <f t="shared" si="4"/>
        <v>291</v>
      </c>
      <c r="B329" s="65"/>
      <c r="C329" s="61" t="s">
        <v>1043</v>
      </c>
      <c r="D329" s="85" t="s">
        <v>176</v>
      </c>
      <c r="E329" s="249">
        <v>5.0999999999999996</v>
      </c>
      <c r="F329" s="48"/>
    </row>
    <row r="330" spans="1:6" s="14" customFormat="1" ht="15.75">
      <c r="A330" s="7">
        <f t="shared" si="4"/>
        <v>292</v>
      </c>
      <c r="B330" s="65"/>
      <c r="C330" s="178" t="s">
        <v>409</v>
      </c>
      <c r="D330" s="85" t="s">
        <v>176</v>
      </c>
      <c r="E330" s="249">
        <f>E329</f>
        <v>5.0999999999999996</v>
      </c>
      <c r="F330" s="48"/>
    </row>
    <row r="331" spans="1:6" s="14" customFormat="1" ht="15.75">
      <c r="A331" s="7">
        <f t="shared" si="4"/>
        <v>293</v>
      </c>
      <c r="B331" s="65"/>
      <c r="C331" s="61" t="s">
        <v>1044</v>
      </c>
      <c r="D331" s="85" t="s">
        <v>176</v>
      </c>
      <c r="E331" s="249">
        <v>1.9</v>
      </c>
      <c r="F331" s="48"/>
    </row>
    <row r="332" spans="1:6" s="14" customFormat="1" ht="15.75">
      <c r="A332" s="7">
        <f t="shared" si="4"/>
        <v>294</v>
      </c>
      <c r="B332" s="65"/>
      <c r="C332" s="178" t="s">
        <v>409</v>
      </c>
      <c r="D332" s="85" t="s">
        <v>176</v>
      </c>
      <c r="E332" s="249">
        <f>E331</f>
        <v>1.9</v>
      </c>
      <c r="F332" s="48"/>
    </row>
    <row r="333" spans="1:6" s="14" customFormat="1">
      <c r="A333" s="7">
        <f t="shared" si="4"/>
        <v>295</v>
      </c>
      <c r="B333" s="65"/>
      <c r="C333" s="179" t="s">
        <v>699</v>
      </c>
      <c r="D333" s="85" t="s">
        <v>9</v>
      </c>
      <c r="E333" s="249">
        <f>5652150/1000</f>
        <v>5652.15</v>
      </c>
      <c r="F333" s="48"/>
    </row>
    <row r="334" spans="1:6" s="14" customFormat="1" ht="25.5">
      <c r="A334" s="76"/>
      <c r="B334" s="76" t="s">
        <v>379</v>
      </c>
      <c r="C334" s="77" t="s">
        <v>571</v>
      </c>
      <c r="D334" s="78"/>
      <c r="E334" s="247"/>
      <c r="F334" s="48"/>
    </row>
    <row r="335" spans="1:6" s="14" customFormat="1" ht="15.75">
      <c r="A335" s="7">
        <f>A333+1</f>
        <v>296</v>
      </c>
      <c r="B335" s="65"/>
      <c r="C335" s="61" t="s">
        <v>1045</v>
      </c>
      <c r="D335" s="85" t="s">
        <v>176</v>
      </c>
      <c r="E335" s="249">
        <v>21.931000000000001</v>
      </c>
      <c r="F335" s="48"/>
    </row>
    <row r="336" spans="1:6" s="14" customFormat="1" ht="15.75">
      <c r="A336" s="7">
        <f t="shared" ref="A336:A358" si="5">A335+1</f>
        <v>297</v>
      </c>
      <c r="B336" s="65"/>
      <c r="C336" s="178" t="s">
        <v>409</v>
      </c>
      <c r="D336" s="85" t="s">
        <v>176</v>
      </c>
      <c r="E336" s="249">
        <f>E335</f>
        <v>21.931000000000001</v>
      </c>
      <c r="F336" s="48"/>
    </row>
    <row r="337" spans="1:6" s="14" customFormat="1" ht="15.75">
      <c r="A337" s="7">
        <f t="shared" si="5"/>
        <v>298</v>
      </c>
      <c r="B337" s="65"/>
      <c r="C337" s="61" t="s">
        <v>1046</v>
      </c>
      <c r="D337" s="85" t="s">
        <v>176</v>
      </c>
      <c r="E337" s="249">
        <v>5.508</v>
      </c>
      <c r="F337" s="48"/>
    </row>
    <row r="338" spans="1:6" s="14" customFormat="1" ht="15.75">
      <c r="A338" s="7">
        <f t="shared" si="5"/>
        <v>299</v>
      </c>
      <c r="B338" s="65"/>
      <c r="C338" s="178" t="s">
        <v>409</v>
      </c>
      <c r="D338" s="85" t="s">
        <v>176</v>
      </c>
      <c r="E338" s="249">
        <f>E337</f>
        <v>5.508</v>
      </c>
      <c r="F338" s="48"/>
    </row>
    <row r="339" spans="1:6" s="14" customFormat="1">
      <c r="A339" s="7">
        <f t="shared" si="5"/>
        <v>300</v>
      </c>
      <c r="B339" s="65"/>
      <c r="C339" s="179" t="s">
        <v>1048</v>
      </c>
      <c r="D339" s="89" t="s">
        <v>9</v>
      </c>
      <c r="E339" s="249">
        <f>215321/1000</f>
        <v>215.321</v>
      </c>
      <c r="F339" s="48"/>
    </row>
    <row r="340" spans="1:6" s="14" customFormat="1">
      <c r="A340" s="7">
        <f t="shared" si="5"/>
        <v>301</v>
      </c>
      <c r="B340" s="65"/>
      <c r="C340" s="179" t="s">
        <v>1047</v>
      </c>
      <c r="D340" s="89" t="s">
        <v>9</v>
      </c>
      <c r="E340" s="249">
        <f>1288771/1000</f>
        <v>1288.771</v>
      </c>
      <c r="F340" s="48"/>
    </row>
    <row r="341" spans="1:6" s="14" customFormat="1" ht="25.5">
      <c r="A341" s="7">
        <f t="shared" si="5"/>
        <v>302</v>
      </c>
      <c r="B341" s="65" t="s">
        <v>1049</v>
      </c>
      <c r="C341" s="61" t="s">
        <v>572</v>
      </c>
      <c r="D341" s="62" t="s">
        <v>11</v>
      </c>
      <c r="E341" s="249">
        <f>SUM(E342:E349)</f>
        <v>4152.8099999999995</v>
      </c>
      <c r="F341" s="48"/>
    </row>
    <row r="342" spans="1:6" s="14" customFormat="1">
      <c r="A342" s="7">
        <f t="shared" si="5"/>
        <v>303</v>
      </c>
      <c r="B342" s="65"/>
      <c r="C342" s="178" t="s">
        <v>679</v>
      </c>
      <c r="D342" s="62" t="s">
        <v>11</v>
      </c>
      <c r="E342" s="249">
        <v>419.55</v>
      </c>
      <c r="F342" s="48"/>
    </row>
    <row r="343" spans="1:6" s="14" customFormat="1">
      <c r="A343" s="7">
        <f t="shared" si="5"/>
        <v>304</v>
      </c>
      <c r="B343" s="65"/>
      <c r="C343" s="178" t="s">
        <v>680</v>
      </c>
      <c r="D343" s="62" t="s">
        <v>11</v>
      </c>
      <c r="E343" s="249">
        <v>526.21</v>
      </c>
      <c r="F343" s="48"/>
    </row>
    <row r="344" spans="1:6" s="14" customFormat="1">
      <c r="A344" s="7">
        <f t="shared" si="5"/>
        <v>305</v>
      </c>
      <c r="B344" s="65"/>
      <c r="C344" s="178" t="s">
        <v>681</v>
      </c>
      <c r="D344" s="62" t="s">
        <v>11</v>
      </c>
      <c r="E344" s="249">
        <v>725.32</v>
      </c>
      <c r="F344" s="48"/>
    </row>
    <row r="345" spans="1:6" s="14" customFormat="1">
      <c r="A345" s="7">
        <f t="shared" si="5"/>
        <v>306</v>
      </c>
      <c r="B345" s="65"/>
      <c r="C345" s="178" t="s">
        <v>686</v>
      </c>
      <c r="D345" s="62" t="s">
        <v>11</v>
      </c>
      <c r="E345" s="249">
        <v>881.76</v>
      </c>
      <c r="F345" s="48"/>
    </row>
    <row r="346" spans="1:6" s="14" customFormat="1">
      <c r="A346" s="7">
        <f t="shared" si="5"/>
        <v>307</v>
      </c>
      <c r="B346" s="65"/>
      <c r="C346" s="178" t="s">
        <v>682</v>
      </c>
      <c r="D346" s="62" t="s">
        <v>11</v>
      </c>
      <c r="E346" s="249">
        <v>511.99</v>
      </c>
      <c r="F346" s="48"/>
    </row>
    <row r="347" spans="1:6" s="14" customFormat="1">
      <c r="A347" s="7">
        <f t="shared" si="5"/>
        <v>308</v>
      </c>
      <c r="B347" s="65"/>
      <c r="C347" s="178" t="s">
        <v>683</v>
      </c>
      <c r="D347" s="62" t="s">
        <v>11</v>
      </c>
      <c r="E347" s="249">
        <v>426.66</v>
      </c>
      <c r="F347" s="48"/>
    </row>
    <row r="348" spans="1:6" s="14" customFormat="1">
      <c r="A348" s="7">
        <f t="shared" si="5"/>
        <v>309</v>
      </c>
      <c r="B348" s="65"/>
      <c r="C348" s="178" t="s">
        <v>684</v>
      </c>
      <c r="D348" s="62" t="s">
        <v>11</v>
      </c>
      <c r="E348" s="249">
        <v>383.99</v>
      </c>
      <c r="F348" s="48"/>
    </row>
    <row r="349" spans="1:6" s="14" customFormat="1">
      <c r="A349" s="7">
        <f t="shared" si="5"/>
        <v>310</v>
      </c>
      <c r="B349" s="65"/>
      <c r="C349" s="178" t="s">
        <v>685</v>
      </c>
      <c r="D349" s="62" t="s">
        <v>11</v>
      </c>
      <c r="E349" s="249">
        <v>277.33</v>
      </c>
      <c r="F349" s="48"/>
    </row>
    <row r="350" spans="1:6" s="14" customFormat="1" ht="25.5">
      <c r="A350" s="7">
        <f t="shared" si="5"/>
        <v>311</v>
      </c>
      <c r="B350" s="65" t="s">
        <v>1049</v>
      </c>
      <c r="C350" s="61" t="s">
        <v>573</v>
      </c>
      <c r="D350" s="62" t="s">
        <v>11</v>
      </c>
      <c r="E350" s="249">
        <f>SUM(E351:E358)</f>
        <v>1919.9400000000003</v>
      </c>
      <c r="F350" s="48"/>
    </row>
    <row r="351" spans="1:6" s="14" customFormat="1">
      <c r="A351" s="7">
        <f t="shared" si="5"/>
        <v>312</v>
      </c>
      <c r="B351" s="65"/>
      <c r="C351" s="178" t="s">
        <v>687</v>
      </c>
      <c r="D351" s="62" t="s">
        <v>11</v>
      </c>
      <c r="E351" s="249">
        <v>213.04</v>
      </c>
      <c r="F351" s="48"/>
    </row>
    <row r="352" spans="1:6" s="14" customFormat="1">
      <c r="A352" s="7">
        <f t="shared" si="5"/>
        <v>313</v>
      </c>
      <c r="B352" s="65"/>
      <c r="C352" s="178" t="s">
        <v>688</v>
      </c>
      <c r="D352" s="62" t="s">
        <v>11</v>
      </c>
      <c r="E352" s="249">
        <v>175.81</v>
      </c>
      <c r="F352" s="48"/>
    </row>
    <row r="353" spans="1:6" s="14" customFormat="1">
      <c r="A353" s="7">
        <f t="shared" si="5"/>
        <v>314</v>
      </c>
      <c r="B353" s="65"/>
      <c r="C353" s="178" t="s">
        <v>689</v>
      </c>
      <c r="D353" s="62" t="s">
        <v>11</v>
      </c>
      <c r="E353" s="249">
        <v>235.8</v>
      </c>
      <c r="F353" s="48"/>
    </row>
    <row r="354" spans="1:6" s="14" customFormat="1">
      <c r="A354" s="7">
        <f t="shared" si="5"/>
        <v>315</v>
      </c>
      <c r="B354" s="65"/>
      <c r="C354" s="178" t="s">
        <v>690</v>
      </c>
      <c r="D354" s="62" t="s">
        <v>11</v>
      </c>
      <c r="E354" s="249">
        <v>205.48</v>
      </c>
      <c r="F354" s="48"/>
    </row>
    <row r="355" spans="1:6" s="14" customFormat="1">
      <c r="A355" s="7">
        <f t="shared" si="5"/>
        <v>316</v>
      </c>
      <c r="B355" s="65"/>
      <c r="C355" s="178" t="s">
        <v>691</v>
      </c>
      <c r="D355" s="62" t="s">
        <v>11</v>
      </c>
      <c r="E355" s="249">
        <v>423.99</v>
      </c>
      <c r="F355" s="48"/>
    </row>
    <row r="356" spans="1:6" s="14" customFormat="1">
      <c r="A356" s="7">
        <f t="shared" si="5"/>
        <v>317</v>
      </c>
      <c r="B356" s="65"/>
      <c r="C356" s="178" t="s">
        <v>692</v>
      </c>
      <c r="D356" s="62" t="s">
        <v>11</v>
      </c>
      <c r="E356" s="249">
        <v>168.43</v>
      </c>
      <c r="F356" s="48"/>
    </row>
    <row r="357" spans="1:6" s="14" customFormat="1">
      <c r="A357" s="7">
        <f t="shared" si="5"/>
        <v>318</v>
      </c>
      <c r="B357" s="65"/>
      <c r="C357" s="178" t="s">
        <v>693</v>
      </c>
      <c r="D357" s="62" t="s">
        <v>11</v>
      </c>
      <c r="E357" s="249">
        <v>174.43</v>
      </c>
      <c r="F357" s="48"/>
    </row>
    <row r="358" spans="1:6" s="14" customFormat="1">
      <c r="A358" s="7">
        <f t="shared" si="5"/>
        <v>319</v>
      </c>
      <c r="B358" s="65"/>
      <c r="C358" s="178" t="s">
        <v>694</v>
      </c>
      <c r="D358" s="62" t="s">
        <v>11</v>
      </c>
      <c r="E358" s="249">
        <v>322.95999999999998</v>
      </c>
      <c r="F358" s="48"/>
    </row>
    <row r="359" spans="1:6" s="45" customFormat="1">
      <c r="A359" s="283"/>
      <c r="B359" s="283"/>
      <c r="C359" s="37" t="s">
        <v>0</v>
      </c>
      <c r="D359" s="38"/>
      <c r="E359" s="254"/>
    </row>
    <row r="360" spans="1:6" s="21" customFormat="1">
      <c r="A360" s="19"/>
      <c r="B360" s="19"/>
      <c r="C360" s="20"/>
      <c r="E360" s="255"/>
    </row>
    <row r="361" spans="1:6" s="21" customFormat="1">
      <c r="A361" s="22"/>
      <c r="B361" s="6"/>
      <c r="C361" s="20"/>
      <c r="D361" s="20"/>
      <c r="E361" s="255"/>
    </row>
    <row r="362" spans="1:6" s="21" customFormat="1" ht="12.75" customHeight="1">
      <c r="A362" s="331" t="s">
        <v>14</v>
      </c>
      <c r="B362" s="331"/>
      <c r="C362" s="275" t="s">
        <v>1082</v>
      </c>
      <c r="D362" s="20"/>
      <c r="E362" s="255"/>
    </row>
    <row r="363" spans="1:6" s="21" customFormat="1">
      <c r="A363" s="25"/>
      <c r="B363" s="6"/>
      <c r="C363" s="74" t="s">
        <v>15</v>
      </c>
      <c r="D363" s="20"/>
      <c r="E363" s="255"/>
    </row>
    <row r="364" spans="1:6">
      <c r="B364" s="6"/>
      <c r="C364" s="238" t="s">
        <v>21</v>
      </c>
      <c r="D364" s="20"/>
      <c r="E364" s="255"/>
    </row>
    <row r="365" spans="1:6" s="23" customFormat="1">
      <c r="A365" s="25"/>
      <c r="B365" s="6"/>
      <c r="C365" s="6" t="s">
        <v>1086</v>
      </c>
      <c r="D365" s="20"/>
      <c r="E365" s="255"/>
    </row>
    <row r="366" spans="1:6">
      <c r="A366" s="23"/>
      <c r="B366" s="6"/>
      <c r="C366" s="6"/>
      <c r="D366" s="20"/>
      <c r="E366" s="255"/>
    </row>
    <row r="367" spans="1:6">
      <c r="A367" s="23"/>
      <c r="B367" s="6"/>
      <c r="C367" s="6"/>
      <c r="D367" s="20"/>
      <c r="E367" s="255"/>
    </row>
    <row r="368" spans="1:6" ht="12.75" customHeight="1">
      <c r="A368" s="23"/>
      <c r="B368" s="6"/>
      <c r="C368" s="6"/>
      <c r="D368" s="20"/>
      <c r="E368" s="255"/>
    </row>
    <row r="369" spans="1:5">
      <c r="A369" s="23"/>
      <c r="B369" s="6"/>
      <c r="C369" s="6"/>
      <c r="D369" s="20"/>
      <c r="E369" s="255"/>
    </row>
    <row r="370" spans="1:5" s="3" customFormat="1">
      <c r="A370" s="23"/>
      <c r="B370" s="6"/>
      <c r="C370" s="6"/>
      <c r="D370" s="20"/>
      <c r="E370" s="255"/>
    </row>
    <row r="371" spans="1:5" s="3" customFormat="1">
      <c r="A371" s="23"/>
      <c r="B371" s="6"/>
      <c r="C371" s="6"/>
      <c r="D371" s="20"/>
      <c r="E371" s="255"/>
    </row>
    <row r="372" spans="1:5" s="3" customFormat="1">
      <c r="A372" s="23"/>
      <c r="B372" s="6"/>
      <c r="C372" s="6"/>
      <c r="D372" s="20"/>
      <c r="E372" s="255"/>
    </row>
    <row r="373" spans="1:5" s="3" customFormat="1">
      <c r="A373" s="23"/>
      <c r="B373" s="6"/>
      <c r="C373" s="6"/>
      <c r="D373" s="20"/>
      <c r="E373" s="255"/>
    </row>
    <row r="374" spans="1:5">
      <c r="A374" s="23"/>
      <c r="B374" s="6"/>
      <c r="C374" s="6"/>
      <c r="D374" s="20"/>
      <c r="E374" s="255"/>
    </row>
    <row r="375" spans="1:5">
      <c r="A375" s="23"/>
      <c r="B375" s="6"/>
      <c r="C375" s="6"/>
      <c r="D375" s="20"/>
      <c r="E375" s="255"/>
    </row>
    <row r="376" spans="1:5">
      <c r="A376" s="23"/>
      <c r="B376" s="6"/>
      <c r="C376" s="6"/>
      <c r="D376" s="20"/>
      <c r="E376" s="255"/>
    </row>
  </sheetData>
  <mergeCells count="8">
    <mergeCell ref="A1:E1"/>
    <mergeCell ref="A2:E2"/>
    <mergeCell ref="A362:B36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3"/>
  <sheetViews>
    <sheetView view="pageBreakPreview" topLeftCell="A25" zoomScaleNormal="244" zoomScaleSheetLayoutView="100" workbookViewId="0">
      <selection activeCell="C118" sqref="C118"/>
    </sheetView>
  </sheetViews>
  <sheetFormatPr defaultColWidth="5.5703125" defaultRowHeight="12.75"/>
  <cols>
    <col min="1" max="2" width="6.42578125" style="25" customWidth="1"/>
    <col min="3" max="3" width="39.85546875" style="25" customWidth="1"/>
    <col min="4" max="4" width="6.42578125" style="25" customWidth="1"/>
    <col min="5" max="5" width="9.7109375" style="25" customWidth="1"/>
    <col min="6" max="6" width="5.7109375" style="23" customWidth="1"/>
    <col min="7" max="16384" width="5.5703125" style="25"/>
  </cols>
  <sheetData>
    <row r="1" spans="1:6" s="3" customFormat="1">
      <c r="A1" s="332" t="s">
        <v>1091</v>
      </c>
      <c r="B1" s="332"/>
      <c r="C1" s="332"/>
      <c r="D1" s="332"/>
      <c r="E1" s="332"/>
      <c r="F1" s="1"/>
    </row>
    <row r="2" spans="1:6" s="3" customFormat="1">
      <c r="A2" s="333" t="s">
        <v>20</v>
      </c>
      <c r="B2" s="333"/>
      <c r="C2" s="333"/>
      <c r="D2" s="333"/>
      <c r="E2" s="333"/>
      <c r="F2" s="2"/>
    </row>
    <row r="3" spans="1:6" s="3" customFormat="1">
      <c r="A3" s="4"/>
      <c r="B3" s="4"/>
      <c r="C3" s="4"/>
      <c r="D3" s="5"/>
      <c r="E3" s="5"/>
      <c r="F3" s="2"/>
    </row>
    <row r="4" spans="1:6" s="3" customFormat="1">
      <c r="A4" s="4" t="s">
        <v>19</v>
      </c>
      <c r="B4" s="4"/>
      <c r="C4" s="4"/>
      <c r="D4" s="5"/>
      <c r="E4" s="5"/>
      <c r="F4" s="2"/>
    </row>
    <row r="5" spans="1:6" s="3" customFormat="1">
      <c r="A5" s="4" t="s">
        <v>13</v>
      </c>
      <c r="B5" s="4"/>
      <c r="C5" s="4"/>
      <c r="D5" s="5"/>
      <c r="E5" s="5"/>
      <c r="F5" s="2"/>
    </row>
    <row r="6" spans="1:6" s="3" customFormat="1">
      <c r="A6" s="4" t="s">
        <v>18</v>
      </c>
      <c r="B6" s="4"/>
      <c r="C6" s="4"/>
      <c r="D6" s="5"/>
      <c r="E6" s="5"/>
      <c r="F6" s="2"/>
    </row>
    <row r="7" spans="1:6" s="3" customFormat="1">
      <c r="A7" s="4" t="s">
        <v>1083</v>
      </c>
      <c r="B7" s="4"/>
      <c r="C7" s="4"/>
      <c r="D7" s="5"/>
      <c r="E7" s="5"/>
      <c r="F7" s="2"/>
    </row>
    <row r="8" spans="1:6" s="3" customFormat="1">
      <c r="A8" s="3" t="s">
        <v>12</v>
      </c>
      <c r="D8" s="5"/>
      <c r="F8" s="2"/>
    </row>
    <row r="9" spans="1:6" s="3" customFormat="1">
      <c r="A9" s="3" t="s">
        <v>17</v>
      </c>
      <c r="D9" s="5"/>
      <c r="F9" s="2"/>
    </row>
    <row r="10" spans="1:6" s="3" customFormat="1">
      <c r="A10" s="4"/>
      <c r="B10" s="4"/>
      <c r="C10" s="4"/>
      <c r="D10" s="2"/>
      <c r="F10" s="2"/>
    </row>
    <row r="11" spans="1:6" s="3" customFormat="1" ht="12.75" customHeight="1">
      <c r="A11" s="334" t="s">
        <v>3</v>
      </c>
      <c r="B11" s="334" t="s">
        <v>4</v>
      </c>
      <c r="C11" s="66"/>
      <c r="D11" s="334" t="s">
        <v>1</v>
      </c>
      <c r="E11" s="336" t="s">
        <v>2</v>
      </c>
      <c r="F11" s="2"/>
    </row>
    <row r="12" spans="1:6" s="3" customFormat="1" ht="55.5" customHeight="1">
      <c r="A12" s="335"/>
      <c r="B12" s="335"/>
      <c r="C12" s="67"/>
      <c r="D12" s="335"/>
      <c r="E12" s="336"/>
      <c r="F12" s="2"/>
    </row>
    <row r="13" spans="1:6" s="140" customFormat="1" ht="25.5">
      <c r="A13" s="76"/>
      <c r="B13" s="76" t="s">
        <v>371</v>
      </c>
      <c r="C13" s="170" t="s">
        <v>382</v>
      </c>
      <c r="D13" s="90"/>
      <c r="E13" s="90"/>
      <c r="F13" s="48"/>
    </row>
    <row r="14" spans="1:6" s="14" customFormat="1" ht="38.25">
      <c r="A14" s="7">
        <v>1</v>
      </c>
      <c r="B14" s="7" t="s">
        <v>84</v>
      </c>
      <c r="C14" s="88" t="s">
        <v>91</v>
      </c>
      <c r="D14" s="89" t="s">
        <v>9</v>
      </c>
      <c r="E14" s="62">
        <v>62</v>
      </c>
      <c r="F14" s="48"/>
    </row>
    <row r="15" spans="1:6" s="14" customFormat="1" ht="38.25">
      <c r="A15" s="31">
        <f>A14+1</f>
        <v>2</v>
      </c>
      <c r="B15" s="7" t="s">
        <v>84</v>
      </c>
      <c r="C15" s="84" t="s">
        <v>92</v>
      </c>
      <c r="D15" s="85" t="s">
        <v>9</v>
      </c>
      <c r="E15" s="16">
        <v>20</v>
      </c>
      <c r="F15" s="48"/>
    </row>
    <row r="16" spans="1:6" s="14" customFormat="1" ht="38.25">
      <c r="A16" s="31">
        <f t="shared" ref="A16:A39" si="0">A15+1</f>
        <v>3</v>
      </c>
      <c r="B16" s="7" t="s">
        <v>84</v>
      </c>
      <c r="C16" s="84" t="s">
        <v>138</v>
      </c>
      <c r="D16" s="85" t="s">
        <v>9</v>
      </c>
      <c r="E16" s="16">
        <v>12</v>
      </c>
      <c r="F16" s="48"/>
    </row>
    <row r="17" spans="1:6" s="14" customFormat="1" ht="38.25">
      <c r="A17" s="31">
        <f t="shared" si="0"/>
        <v>4</v>
      </c>
      <c r="B17" s="7" t="s">
        <v>84</v>
      </c>
      <c r="C17" s="84" t="s">
        <v>139</v>
      </c>
      <c r="D17" s="85" t="s">
        <v>9</v>
      </c>
      <c r="E17" s="16">
        <v>10</v>
      </c>
      <c r="F17" s="48"/>
    </row>
    <row r="18" spans="1:6" s="14" customFormat="1" ht="38.25">
      <c r="A18" s="31">
        <f t="shared" si="0"/>
        <v>5</v>
      </c>
      <c r="B18" s="7" t="s">
        <v>84</v>
      </c>
      <c r="C18" s="84" t="s">
        <v>140</v>
      </c>
      <c r="D18" s="85" t="s">
        <v>9</v>
      </c>
      <c r="E18" s="16">
        <v>12</v>
      </c>
      <c r="F18" s="48"/>
    </row>
    <row r="19" spans="1:6" s="14" customFormat="1" ht="38.25">
      <c r="A19" s="31">
        <f t="shared" si="0"/>
        <v>6</v>
      </c>
      <c r="B19" s="7" t="s">
        <v>84</v>
      </c>
      <c r="C19" s="84" t="s">
        <v>141</v>
      </c>
      <c r="D19" s="85" t="s">
        <v>9</v>
      </c>
      <c r="E19" s="16">
        <v>10</v>
      </c>
      <c r="F19" s="48"/>
    </row>
    <row r="20" spans="1:6" s="14" customFormat="1" ht="25.5">
      <c r="A20" s="31">
        <f t="shared" si="0"/>
        <v>7</v>
      </c>
      <c r="B20" s="7" t="s">
        <v>84</v>
      </c>
      <c r="C20" s="84" t="s">
        <v>142</v>
      </c>
      <c r="D20" s="85" t="s">
        <v>9</v>
      </c>
      <c r="E20" s="16">
        <v>1</v>
      </c>
      <c r="F20" s="48"/>
    </row>
    <row r="21" spans="1:6" s="14" customFormat="1">
      <c r="A21" s="31">
        <f t="shared" si="0"/>
        <v>8</v>
      </c>
      <c r="B21" s="7" t="s">
        <v>84</v>
      </c>
      <c r="C21" s="84" t="s">
        <v>93</v>
      </c>
      <c r="D21" s="85" t="s">
        <v>90</v>
      </c>
      <c r="E21" s="16">
        <v>6</v>
      </c>
      <c r="F21" s="48"/>
    </row>
    <row r="22" spans="1:6" s="14" customFormat="1">
      <c r="A22" s="31">
        <f t="shared" si="0"/>
        <v>9</v>
      </c>
      <c r="B22" s="7" t="s">
        <v>84</v>
      </c>
      <c r="C22" s="84" t="s">
        <v>94</v>
      </c>
      <c r="D22" s="85" t="s">
        <v>90</v>
      </c>
      <c r="E22" s="16">
        <v>3</v>
      </c>
      <c r="F22" s="48"/>
    </row>
    <row r="23" spans="1:6" s="14" customFormat="1">
      <c r="A23" s="31">
        <f t="shared" si="0"/>
        <v>10</v>
      </c>
      <c r="B23" s="7" t="s">
        <v>84</v>
      </c>
      <c r="C23" s="84" t="s">
        <v>95</v>
      </c>
      <c r="D23" s="85" t="s">
        <v>90</v>
      </c>
      <c r="E23" s="16">
        <v>4</v>
      </c>
      <c r="F23" s="48"/>
    </row>
    <row r="24" spans="1:6" s="14" customFormat="1">
      <c r="A24" s="31">
        <f t="shared" si="0"/>
        <v>11</v>
      </c>
      <c r="B24" s="7" t="s">
        <v>84</v>
      </c>
      <c r="C24" s="84" t="s">
        <v>96</v>
      </c>
      <c r="D24" s="85" t="s">
        <v>90</v>
      </c>
      <c r="E24" s="16">
        <v>1</v>
      </c>
      <c r="F24" s="48"/>
    </row>
    <row r="25" spans="1:6" s="14" customFormat="1" ht="25.5">
      <c r="A25" s="31">
        <f t="shared" si="0"/>
        <v>12</v>
      </c>
      <c r="B25" s="7" t="s">
        <v>84</v>
      </c>
      <c r="C25" s="84" t="s">
        <v>143</v>
      </c>
      <c r="D25" s="85" t="s">
        <v>90</v>
      </c>
      <c r="E25" s="16">
        <v>2</v>
      </c>
      <c r="F25" s="48"/>
    </row>
    <row r="26" spans="1:6" s="14" customFormat="1" ht="25.5">
      <c r="A26" s="31">
        <f t="shared" si="0"/>
        <v>13</v>
      </c>
      <c r="B26" s="7" t="s">
        <v>84</v>
      </c>
      <c r="C26" s="84" t="s">
        <v>144</v>
      </c>
      <c r="D26" s="16" t="s">
        <v>90</v>
      </c>
      <c r="E26" s="16">
        <v>2</v>
      </c>
      <c r="F26" s="48"/>
    </row>
    <row r="27" spans="1:6" s="14" customFormat="1" ht="25.5">
      <c r="A27" s="31">
        <f t="shared" si="0"/>
        <v>14</v>
      </c>
      <c r="B27" s="7" t="s">
        <v>84</v>
      </c>
      <c r="C27" s="15" t="s">
        <v>145</v>
      </c>
      <c r="D27" s="16" t="s">
        <v>90</v>
      </c>
      <c r="E27" s="16">
        <v>2</v>
      </c>
      <c r="F27" s="48"/>
    </row>
    <row r="28" spans="1:6" s="14" customFormat="1">
      <c r="A28" s="31">
        <f t="shared" si="0"/>
        <v>15</v>
      </c>
      <c r="B28" s="7" t="s">
        <v>84</v>
      </c>
      <c r="C28" s="15" t="s">
        <v>97</v>
      </c>
      <c r="D28" s="16" t="s">
        <v>90</v>
      </c>
      <c r="E28" s="16">
        <v>15</v>
      </c>
      <c r="F28" s="48"/>
    </row>
    <row r="29" spans="1:6" s="14" customFormat="1">
      <c r="A29" s="31">
        <f t="shared" si="0"/>
        <v>16</v>
      </c>
      <c r="B29" s="7" t="s">
        <v>84</v>
      </c>
      <c r="C29" s="15" t="s">
        <v>98</v>
      </c>
      <c r="D29" s="16" t="s">
        <v>90</v>
      </c>
      <c r="E29" s="16">
        <v>15</v>
      </c>
      <c r="F29" s="48"/>
    </row>
    <row r="30" spans="1:6" s="14" customFormat="1">
      <c r="A30" s="31">
        <f t="shared" si="0"/>
        <v>17</v>
      </c>
      <c r="B30" s="7" t="s">
        <v>84</v>
      </c>
      <c r="C30" s="84" t="s">
        <v>99</v>
      </c>
      <c r="D30" s="85" t="s">
        <v>9</v>
      </c>
      <c r="E30" s="16">
        <v>55</v>
      </c>
      <c r="F30" s="48"/>
    </row>
    <row r="31" spans="1:6" s="14" customFormat="1">
      <c r="A31" s="31">
        <f t="shared" si="0"/>
        <v>18</v>
      </c>
      <c r="B31" s="7" t="s">
        <v>84</v>
      </c>
      <c r="C31" s="84" t="s">
        <v>100</v>
      </c>
      <c r="D31" s="85" t="s">
        <v>9</v>
      </c>
      <c r="E31" s="16">
        <v>20</v>
      </c>
      <c r="F31" s="48"/>
    </row>
    <row r="32" spans="1:6" s="14" customFormat="1">
      <c r="A32" s="31">
        <f t="shared" si="0"/>
        <v>19</v>
      </c>
      <c r="B32" s="7" t="s">
        <v>84</v>
      </c>
      <c r="C32" s="84" t="s">
        <v>101</v>
      </c>
      <c r="D32" s="85" t="s">
        <v>9</v>
      </c>
      <c r="E32" s="16">
        <v>12</v>
      </c>
      <c r="F32" s="48"/>
    </row>
    <row r="33" spans="1:6" s="14" customFormat="1">
      <c r="A33" s="31">
        <f t="shared" si="0"/>
        <v>20</v>
      </c>
      <c r="B33" s="7" t="s">
        <v>84</v>
      </c>
      <c r="C33" s="84" t="s">
        <v>102</v>
      </c>
      <c r="D33" s="85" t="s">
        <v>9</v>
      </c>
      <c r="E33" s="16">
        <v>10</v>
      </c>
      <c r="F33" s="48"/>
    </row>
    <row r="34" spans="1:6" s="14" customFormat="1">
      <c r="A34" s="31">
        <f t="shared" si="0"/>
        <v>21</v>
      </c>
      <c r="B34" s="7" t="s">
        <v>84</v>
      </c>
      <c r="C34" s="84" t="s">
        <v>103</v>
      </c>
      <c r="D34" s="85" t="s">
        <v>9</v>
      </c>
      <c r="E34" s="16">
        <v>12</v>
      </c>
      <c r="F34" s="48"/>
    </row>
    <row r="35" spans="1:6" s="14" customFormat="1">
      <c r="A35" s="31">
        <f t="shared" si="0"/>
        <v>22</v>
      </c>
      <c r="B35" s="7" t="s">
        <v>84</v>
      </c>
      <c r="C35" s="84" t="s">
        <v>104</v>
      </c>
      <c r="D35" s="85" t="s">
        <v>9</v>
      </c>
      <c r="E35" s="16">
        <v>10</v>
      </c>
      <c r="F35" s="48"/>
    </row>
    <row r="36" spans="1:6" s="14" customFormat="1">
      <c r="A36" s="31">
        <f t="shared" si="0"/>
        <v>23</v>
      </c>
      <c r="B36" s="7" t="s">
        <v>84</v>
      </c>
      <c r="C36" s="15" t="s">
        <v>105</v>
      </c>
      <c r="D36" s="16" t="s">
        <v>90</v>
      </c>
      <c r="E36" s="16">
        <v>1</v>
      </c>
      <c r="F36" s="48"/>
    </row>
    <row r="37" spans="1:6" s="14" customFormat="1">
      <c r="A37" s="31">
        <f t="shared" si="0"/>
        <v>24</v>
      </c>
      <c r="B37" s="7" t="s">
        <v>84</v>
      </c>
      <c r="C37" s="84" t="s">
        <v>85</v>
      </c>
      <c r="D37" s="85" t="s">
        <v>8</v>
      </c>
      <c r="E37" s="16">
        <v>1</v>
      </c>
      <c r="F37" s="48"/>
    </row>
    <row r="38" spans="1:6" s="14" customFormat="1" ht="25.5">
      <c r="A38" s="31">
        <f t="shared" si="0"/>
        <v>25</v>
      </c>
      <c r="B38" s="7" t="s">
        <v>84</v>
      </c>
      <c r="C38" s="84" t="s">
        <v>146</v>
      </c>
      <c r="D38" s="85" t="s">
        <v>8</v>
      </c>
      <c r="E38" s="16">
        <v>1</v>
      </c>
      <c r="F38" s="48"/>
    </row>
    <row r="39" spans="1:6" s="14" customFormat="1" ht="25.5">
      <c r="A39" s="51">
        <f t="shared" si="0"/>
        <v>26</v>
      </c>
      <c r="B39" s="91" t="s">
        <v>84</v>
      </c>
      <c r="C39" s="92" t="s">
        <v>86</v>
      </c>
      <c r="D39" s="93" t="s">
        <v>9</v>
      </c>
      <c r="E39" s="94">
        <v>126</v>
      </c>
      <c r="F39" s="48"/>
    </row>
    <row r="40" spans="1:6" s="14" customFormat="1" ht="25.5">
      <c r="A40" s="76"/>
      <c r="B40" s="76" t="s">
        <v>371</v>
      </c>
      <c r="C40" s="72" t="s">
        <v>383</v>
      </c>
      <c r="D40" s="90" t="s">
        <v>8</v>
      </c>
      <c r="E40" s="135"/>
      <c r="F40" s="48"/>
    </row>
    <row r="41" spans="1:6" s="14" customFormat="1">
      <c r="A41" s="7">
        <f>A39+1</f>
        <v>27</v>
      </c>
      <c r="B41" s="7" t="s">
        <v>84</v>
      </c>
      <c r="C41" s="61" t="s">
        <v>106</v>
      </c>
      <c r="D41" s="62" t="s">
        <v>90</v>
      </c>
      <c r="E41" s="62">
        <v>1</v>
      </c>
      <c r="F41" s="48"/>
    </row>
    <row r="42" spans="1:6" s="14" customFormat="1">
      <c r="A42" s="31">
        <f>A41+1</f>
        <v>28</v>
      </c>
      <c r="B42" s="7" t="s">
        <v>84</v>
      </c>
      <c r="C42" s="15" t="s">
        <v>107</v>
      </c>
      <c r="D42" s="16" t="s">
        <v>9</v>
      </c>
      <c r="E42" s="16">
        <v>1</v>
      </c>
      <c r="F42" s="48"/>
    </row>
    <row r="43" spans="1:6" s="14" customFormat="1">
      <c r="A43" s="31">
        <f>A42+1</f>
        <v>29</v>
      </c>
      <c r="B43" s="7" t="s">
        <v>84</v>
      </c>
      <c r="C43" s="84" t="s">
        <v>108</v>
      </c>
      <c r="D43" s="16" t="s">
        <v>90</v>
      </c>
      <c r="E43" s="16">
        <v>2</v>
      </c>
      <c r="F43" s="48"/>
    </row>
    <row r="44" spans="1:6" s="14" customFormat="1">
      <c r="A44" s="31">
        <f>A43+1</f>
        <v>30</v>
      </c>
      <c r="B44" s="7" t="s">
        <v>84</v>
      </c>
      <c r="C44" s="15" t="s">
        <v>109</v>
      </c>
      <c r="D44" s="16" t="s">
        <v>90</v>
      </c>
      <c r="E44" s="16">
        <v>2</v>
      </c>
      <c r="F44" s="48"/>
    </row>
    <row r="45" spans="1:6" s="14" customFormat="1">
      <c r="A45" s="31">
        <f>A44+1</f>
        <v>31</v>
      </c>
      <c r="B45" s="91" t="s">
        <v>84</v>
      </c>
      <c r="C45" s="95" t="s">
        <v>110</v>
      </c>
      <c r="D45" s="94" t="s">
        <v>90</v>
      </c>
      <c r="E45" s="94">
        <v>1</v>
      </c>
      <c r="F45" s="48"/>
    </row>
    <row r="46" spans="1:6" s="14" customFormat="1" ht="25.5">
      <c r="A46" s="76"/>
      <c r="B46" s="76" t="s">
        <v>371</v>
      </c>
      <c r="C46" s="72" t="s">
        <v>384</v>
      </c>
      <c r="D46" s="90" t="s">
        <v>8</v>
      </c>
      <c r="E46" s="135">
        <v>1</v>
      </c>
      <c r="F46" s="48"/>
    </row>
    <row r="47" spans="1:6" s="14" customFormat="1">
      <c r="A47" s="31">
        <f>A45+1</f>
        <v>32</v>
      </c>
      <c r="B47" s="7" t="s">
        <v>84</v>
      </c>
      <c r="C47" s="61" t="s">
        <v>106</v>
      </c>
      <c r="D47" s="62" t="s">
        <v>90</v>
      </c>
      <c r="E47" s="62">
        <v>1</v>
      </c>
      <c r="F47" s="48"/>
    </row>
    <row r="48" spans="1:6" s="14" customFormat="1">
      <c r="A48" s="31">
        <f>A47+1</f>
        <v>33</v>
      </c>
      <c r="B48" s="7" t="s">
        <v>84</v>
      </c>
      <c r="C48" s="15" t="s">
        <v>107</v>
      </c>
      <c r="D48" s="16" t="s">
        <v>9</v>
      </c>
      <c r="E48" s="16">
        <v>1</v>
      </c>
      <c r="F48" s="48"/>
    </row>
    <row r="49" spans="1:6" s="14" customFormat="1">
      <c r="A49" s="31">
        <f>A48+1</f>
        <v>34</v>
      </c>
      <c r="B49" s="7" t="s">
        <v>84</v>
      </c>
      <c r="C49" s="84" t="s">
        <v>111</v>
      </c>
      <c r="D49" s="16" t="s">
        <v>90</v>
      </c>
      <c r="E49" s="16">
        <v>2</v>
      </c>
      <c r="F49" s="48"/>
    </row>
    <row r="50" spans="1:6" s="14" customFormat="1">
      <c r="A50" s="31">
        <f>A49+1</f>
        <v>35</v>
      </c>
      <c r="B50" s="7" t="s">
        <v>84</v>
      </c>
      <c r="C50" s="15" t="s">
        <v>112</v>
      </c>
      <c r="D50" s="16" t="s">
        <v>90</v>
      </c>
      <c r="E50" s="16">
        <v>2</v>
      </c>
      <c r="F50" s="48"/>
    </row>
    <row r="51" spans="1:6" s="14" customFormat="1">
      <c r="A51" s="31">
        <f>A50+1</f>
        <v>36</v>
      </c>
      <c r="B51" s="91" t="s">
        <v>84</v>
      </c>
      <c r="C51" s="95" t="s">
        <v>113</v>
      </c>
      <c r="D51" s="94" t="s">
        <v>90</v>
      </c>
      <c r="E51" s="94">
        <v>1</v>
      </c>
      <c r="F51" s="48"/>
    </row>
    <row r="52" spans="1:6" s="14" customFormat="1" ht="25.5">
      <c r="A52" s="76"/>
      <c r="B52" s="76" t="s">
        <v>371</v>
      </c>
      <c r="C52" s="72" t="s">
        <v>385</v>
      </c>
      <c r="D52" s="90" t="s">
        <v>8</v>
      </c>
      <c r="E52" s="135">
        <v>1</v>
      </c>
      <c r="F52" s="48"/>
    </row>
    <row r="53" spans="1:6" s="14" customFormat="1">
      <c r="A53" s="31">
        <f>A51+1</f>
        <v>37</v>
      </c>
      <c r="B53" s="7" t="s">
        <v>84</v>
      </c>
      <c r="C53" s="61" t="s">
        <v>106</v>
      </c>
      <c r="D53" s="62" t="s">
        <v>90</v>
      </c>
      <c r="E53" s="62">
        <v>1</v>
      </c>
      <c r="F53" s="48"/>
    </row>
    <row r="54" spans="1:6" s="14" customFormat="1">
      <c r="A54" s="31">
        <f>A53+1</f>
        <v>38</v>
      </c>
      <c r="B54" s="7" t="s">
        <v>84</v>
      </c>
      <c r="C54" s="15" t="s">
        <v>107</v>
      </c>
      <c r="D54" s="16" t="s">
        <v>9</v>
      </c>
      <c r="E54" s="16">
        <v>1</v>
      </c>
      <c r="F54" s="48"/>
    </row>
    <row r="55" spans="1:6" s="14" customFormat="1">
      <c r="A55" s="31">
        <f>A54+1</f>
        <v>39</v>
      </c>
      <c r="B55" s="7" t="s">
        <v>84</v>
      </c>
      <c r="C55" s="84" t="s">
        <v>114</v>
      </c>
      <c r="D55" s="16" t="s">
        <v>90</v>
      </c>
      <c r="E55" s="16">
        <v>2</v>
      </c>
      <c r="F55" s="48"/>
    </row>
    <row r="56" spans="1:6" s="14" customFormat="1">
      <c r="A56" s="31">
        <f>A55+1</f>
        <v>40</v>
      </c>
      <c r="B56" s="91" t="s">
        <v>84</v>
      </c>
      <c r="C56" s="95" t="s">
        <v>115</v>
      </c>
      <c r="D56" s="94" t="s">
        <v>90</v>
      </c>
      <c r="E56" s="94">
        <v>1</v>
      </c>
      <c r="F56" s="48"/>
    </row>
    <row r="57" spans="1:6" s="14" customFormat="1" ht="25.5">
      <c r="A57" s="76"/>
      <c r="B57" s="76" t="s">
        <v>371</v>
      </c>
      <c r="C57" s="170" t="s">
        <v>386</v>
      </c>
      <c r="D57" s="90"/>
      <c r="E57" s="136"/>
      <c r="F57" s="48"/>
    </row>
    <row r="58" spans="1:6" s="14" customFormat="1" ht="38.25">
      <c r="A58" s="31">
        <f>A56+1</f>
        <v>41</v>
      </c>
      <c r="B58" s="7" t="s">
        <v>84</v>
      </c>
      <c r="C58" s="88" t="s">
        <v>91</v>
      </c>
      <c r="D58" s="89" t="s">
        <v>9</v>
      </c>
      <c r="E58" s="62">
        <v>95</v>
      </c>
      <c r="F58" s="48"/>
    </row>
    <row r="59" spans="1:6" s="14" customFormat="1" ht="38.25">
      <c r="A59" s="31">
        <f t="shared" ref="A59:A77" si="1">A58+1</f>
        <v>42</v>
      </c>
      <c r="B59" s="7" t="s">
        <v>84</v>
      </c>
      <c r="C59" s="84" t="s">
        <v>92</v>
      </c>
      <c r="D59" s="85" t="s">
        <v>9</v>
      </c>
      <c r="E59" s="16">
        <v>25</v>
      </c>
      <c r="F59" s="48"/>
    </row>
    <row r="60" spans="1:6" s="14" customFormat="1" ht="38.25">
      <c r="A60" s="31">
        <f t="shared" si="1"/>
        <v>43</v>
      </c>
      <c r="B60" s="7" t="s">
        <v>84</v>
      </c>
      <c r="C60" s="84" t="s">
        <v>138</v>
      </c>
      <c r="D60" s="85" t="s">
        <v>9</v>
      </c>
      <c r="E60" s="16">
        <v>32</v>
      </c>
      <c r="F60" s="48"/>
    </row>
    <row r="61" spans="1:6" s="14" customFormat="1">
      <c r="A61" s="31">
        <f t="shared" si="1"/>
        <v>44</v>
      </c>
      <c r="B61" s="7" t="s">
        <v>84</v>
      </c>
      <c r="C61" s="84" t="s">
        <v>93</v>
      </c>
      <c r="D61" s="85" t="s">
        <v>90</v>
      </c>
      <c r="E61" s="16">
        <v>5</v>
      </c>
      <c r="F61" s="48"/>
    </row>
    <row r="62" spans="1:6" s="14" customFormat="1">
      <c r="A62" s="31">
        <f t="shared" si="1"/>
        <v>45</v>
      </c>
      <c r="B62" s="7" t="s">
        <v>84</v>
      </c>
      <c r="C62" s="84" t="s">
        <v>94</v>
      </c>
      <c r="D62" s="85" t="s">
        <v>90</v>
      </c>
      <c r="E62" s="16">
        <v>2</v>
      </c>
      <c r="F62" s="48"/>
    </row>
    <row r="63" spans="1:6" s="14" customFormat="1">
      <c r="A63" s="31">
        <f t="shared" si="1"/>
        <v>46</v>
      </c>
      <c r="B63" s="7" t="s">
        <v>84</v>
      </c>
      <c r="C63" s="84" t="s">
        <v>95</v>
      </c>
      <c r="D63" s="85" t="s">
        <v>90</v>
      </c>
      <c r="E63" s="16">
        <v>6</v>
      </c>
      <c r="F63" s="48"/>
    </row>
    <row r="64" spans="1:6" s="14" customFormat="1">
      <c r="A64" s="31">
        <f t="shared" si="1"/>
        <v>47</v>
      </c>
      <c r="B64" s="7" t="s">
        <v>84</v>
      </c>
      <c r="C64" s="84" t="s">
        <v>147</v>
      </c>
      <c r="D64" s="85" t="s">
        <v>90</v>
      </c>
      <c r="E64" s="16">
        <v>1</v>
      </c>
      <c r="F64" s="48"/>
    </row>
    <row r="65" spans="1:6" s="14" customFormat="1" ht="25.5">
      <c r="A65" s="31">
        <f t="shared" si="1"/>
        <v>48</v>
      </c>
      <c r="B65" s="7" t="s">
        <v>84</v>
      </c>
      <c r="C65" s="84" t="s">
        <v>143</v>
      </c>
      <c r="D65" s="85" t="s">
        <v>90</v>
      </c>
      <c r="E65" s="16">
        <v>2</v>
      </c>
      <c r="F65" s="48"/>
    </row>
    <row r="66" spans="1:6" s="14" customFormat="1">
      <c r="A66" s="31">
        <f t="shared" si="1"/>
        <v>49</v>
      </c>
      <c r="B66" s="7" t="s">
        <v>84</v>
      </c>
      <c r="C66" s="84" t="s">
        <v>148</v>
      </c>
      <c r="D66" s="85" t="s">
        <v>90</v>
      </c>
      <c r="E66" s="16">
        <v>1</v>
      </c>
      <c r="F66" s="48"/>
    </row>
    <row r="67" spans="1:6" s="14" customFormat="1">
      <c r="A67" s="31">
        <f t="shared" si="1"/>
        <v>50</v>
      </c>
      <c r="B67" s="7" t="s">
        <v>84</v>
      </c>
      <c r="C67" s="84" t="s">
        <v>116</v>
      </c>
      <c r="D67" s="85" t="s">
        <v>9</v>
      </c>
      <c r="E67" s="16">
        <v>90</v>
      </c>
      <c r="F67" s="48"/>
    </row>
    <row r="68" spans="1:6" s="14" customFormat="1">
      <c r="A68" s="31">
        <f t="shared" si="1"/>
        <v>51</v>
      </c>
      <c r="B68" s="7" t="s">
        <v>84</v>
      </c>
      <c r="C68" s="84" t="s">
        <v>117</v>
      </c>
      <c r="D68" s="85" t="s">
        <v>9</v>
      </c>
      <c r="E68" s="16">
        <v>25</v>
      </c>
      <c r="F68" s="48"/>
    </row>
    <row r="69" spans="1:6" s="14" customFormat="1">
      <c r="A69" s="31">
        <f t="shared" si="1"/>
        <v>52</v>
      </c>
      <c r="B69" s="7" t="s">
        <v>84</v>
      </c>
      <c r="C69" s="84" t="s">
        <v>118</v>
      </c>
      <c r="D69" s="85" t="s">
        <v>9</v>
      </c>
      <c r="E69" s="16">
        <v>32</v>
      </c>
      <c r="F69" s="48"/>
    </row>
    <row r="70" spans="1:6" s="14" customFormat="1" ht="38.25">
      <c r="A70" s="31">
        <f t="shared" si="1"/>
        <v>53</v>
      </c>
      <c r="B70" s="7" t="s">
        <v>84</v>
      </c>
      <c r="C70" s="15" t="s">
        <v>149</v>
      </c>
      <c r="D70" s="16" t="s">
        <v>8</v>
      </c>
      <c r="E70" s="16">
        <v>2</v>
      </c>
      <c r="F70" s="48"/>
    </row>
    <row r="71" spans="1:6" s="14" customFormat="1">
      <c r="A71" s="31">
        <f t="shared" si="1"/>
        <v>54</v>
      </c>
      <c r="B71" s="7" t="s">
        <v>84</v>
      </c>
      <c r="C71" s="84" t="s">
        <v>119</v>
      </c>
      <c r="D71" s="85" t="s">
        <v>8</v>
      </c>
      <c r="E71" s="85">
        <v>2</v>
      </c>
      <c r="F71" s="48"/>
    </row>
    <row r="72" spans="1:6" s="14" customFormat="1">
      <c r="A72" s="31">
        <f t="shared" si="1"/>
        <v>55</v>
      </c>
      <c r="B72" s="7" t="s">
        <v>84</v>
      </c>
      <c r="C72" s="84" t="s">
        <v>120</v>
      </c>
      <c r="D72" s="16" t="s">
        <v>90</v>
      </c>
      <c r="E72" s="16">
        <v>1</v>
      </c>
      <c r="F72" s="48"/>
    </row>
    <row r="73" spans="1:6" s="14" customFormat="1">
      <c r="A73" s="31">
        <f t="shared" si="1"/>
        <v>56</v>
      </c>
      <c r="B73" s="7" t="s">
        <v>84</v>
      </c>
      <c r="C73" s="84" t="s">
        <v>121</v>
      </c>
      <c r="D73" s="16" t="s">
        <v>90</v>
      </c>
      <c r="E73" s="16">
        <v>1</v>
      </c>
      <c r="F73" s="48"/>
    </row>
    <row r="74" spans="1:6" s="14" customFormat="1">
      <c r="A74" s="31">
        <f t="shared" si="1"/>
        <v>57</v>
      </c>
      <c r="B74" s="7" t="s">
        <v>84</v>
      </c>
      <c r="C74" s="15" t="s">
        <v>97</v>
      </c>
      <c r="D74" s="16" t="s">
        <v>90</v>
      </c>
      <c r="E74" s="16">
        <v>9</v>
      </c>
      <c r="F74" s="48"/>
    </row>
    <row r="75" spans="1:6" s="14" customFormat="1">
      <c r="A75" s="31">
        <f t="shared" si="1"/>
        <v>58</v>
      </c>
      <c r="B75" s="7" t="s">
        <v>84</v>
      </c>
      <c r="C75" s="15" t="s">
        <v>122</v>
      </c>
      <c r="D75" s="16" t="s">
        <v>90</v>
      </c>
      <c r="E75" s="16">
        <v>9</v>
      </c>
      <c r="F75" s="48"/>
    </row>
    <row r="76" spans="1:6" s="14" customFormat="1">
      <c r="A76" s="31">
        <f t="shared" si="1"/>
        <v>59</v>
      </c>
      <c r="B76" s="7" t="s">
        <v>84</v>
      </c>
      <c r="C76" s="84" t="s">
        <v>87</v>
      </c>
      <c r="D76" s="85" t="s">
        <v>8</v>
      </c>
      <c r="E76" s="16">
        <v>1</v>
      </c>
      <c r="F76" s="48"/>
    </row>
    <row r="77" spans="1:6" s="14" customFormat="1" ht="25.5">
      <c r="A77" s="51">
        <f t="shared" si="1"/>
        <v>60</v>
      </c>
      <c r="B77" s="91" t="s">
        <v>84</v>
      </c>
      <c r="C77" s="92" t="s">
        <v>86</v>
      </c>
      <c r="D77" s="93" t="s">
        <v>9</v>
      </c>
      <c r="E77" s="94">
        <v>152</v>
      </c>
      <c r="F77" s="48"/>
    </row>
    <row r="78" spans="1:6" s="14" customFormat="1" ht="25.5">
      <c r="A78" s="76"/>
      <c r="B78" s="76" t="s">
        <v>371</v>
      </c>
      <c r="C78" s="72" t="s">
        <v>383</v>
      </c>
      <c r="D78" s="90" t="s">
        <v>8</v>
      </c>
      <c r="E78" s="135"/>
      <c r="F78" s="48"/>
    </row>
    <row r="79" spans="1:6" s="14" customFormat="1">
      <c r="A79" s="7">
        <f>A77+1</f>
        <v>61</v>
      </c>
      <c r="B79" s="7" t="s">
        <v>84</v>
      </c>
      <c r="C79" s="61" t="s">
        <v>123</v>
      </c>
      <c r="D79" s="62" t="s">
        <v>90</v>
      </c>
      <c r="E79" s="62">
        <v>1</v>
      </c>
      <c r="F79" s="48"/>
    </row>
    <row r="80" spans="1:6" s="14" customFormat="1">
      <c r="A80" s="31">
        <f>A79+1</f>
        <v>62</v>
      </c>
      <c r="B80" s="7" t="s">
        <v>84</v>
      </c>
      <c r="C80" s="15" t="s">
        <v>107</v>
      </c>
      <c r="D80" s="16" t="s">
        <v>9</v>
      </c>
      <c r="E80" s="16">
        <v>1</v>
      </c>
      <c r="F80" s="48"/>
    </row>
    <row r="81" spans="1:6" s="14" customFormat="1">
      <c r="A81" s="31">
        <f>A80+1</f>
        <v>63</v>
      </c>
      <c r="B81" s="7" t="s">
        <v>84</v>
      </c>
      <c r="C81" s="84" t="s">
        <v>124</v>
      </c>
      <c r="D81" s="16" t="s">
        <v>90</v>
      </c>
      <c r="E81" s="16">
        <v>2</v>
      </c>
      <c r="F81" s="48"/>
    </row>
    <row r="82" spans="1:6" s="14" customFormat="1">
      <c r="A82" s="31">
        <f>A81+1</f>
        <v>64</v>
      </c>
      <c r="B82" s="7" t="s">
        <v>84</v>
      </c>
      <c r="C82" s="15" t="s">
        <v>125</v>
      </c>
      <c r="D82" s="16" t="s">
        <v>90</v>
      </c>
      <c r="E82" s="16">
        <v>2</v>
      </c>
      <c r="F82" s="48"/>
    </row>
    <row r="83" spans="1:6" s="14" customFormat="1">
      <c r="A83" s="51">
        <f>A82+1</f>
        <v>65</v>
      </c>
      <c r="B83" s="91" t="s">
        <v>84</v>
      </c>
      <c r="C83" s="95" t="s">
        <v>126</v>
      </c>
      <c r="D83" s="94" t="s">
        <v>90</v>
      </c>
      <c r="E83" s="94">
        <v>1</v>
      </c>
      <c r="F83" s="48"/>
    </row>
    <row r="84" spans="1:6" s="14" customFormat="1" ht="25.5">
      <c r="A84" s="76"/>
      <c r="B84" s="76" t="s">
        <v>371</v>
      </c>
      <c r="C84" s="72" t="s">
        <v>384</v>
      </c>
      <c r="D84" s="90" t="s">
        <v>8</v>
      </c>
      <c r="E84" s="135">
        <v>1</v>
      </c>
      <c r="F84" s="48"/>
    </row>
    <row r="85" spans="1:6" s="14" customFormat="1">
      <c r="A85" s="7">
        <f>A83+1</f>
        <v>66</v>
      </c>
      <c r="B85" s="7" t="s">
        <v>84</v>
      </c>
      <c r="C85" s="61" t="s">
        <v>123</v>
      </c>
      <c r="D85" s="62" t="s">
        <v>90</v>
      </c>
      <c r="E85" s="62">
        <v>1</v>
      </c>
      <c r="F85" s="48"/>
    </row>
    <row r="86" spans="1:6" s="14" customFormat="1">
      <c r="A86" s="31">
        <f>A85+1</f>
        <v>67</v>
      </c>
      <c r="B86" s="7" t="s">
        <v>84</v>
      </c>
      <c r="C86" s="15" t="s">
        <v>107</v>
      </c>
      <c r="D86" s="16" t="s">
        <v>9</v>
      </c>
      <c r="E86" s="16">
        <v>1</v>
      </c>
      <c r="F86" s="48"/>
    </row>
    <row r="87" spans="1:6" s="14" customFormat="1">
      <c r="A87" s="31">
        <f>A86+1</f>
        <v>68</v>
      </c>
      <c r="B87" s="7" t="s">
        <v>84</v>
      </c>
      <c r="C87" s="84" t="s">
        <v>111</v>
      </c>
      <c r="D87" s="16" t="s">
        <v>90</v>
      </c>
      <c r="E87" s="16">
        <v>2</v>
      </c>
      <c r="F87" s="48"/>
    </row>
    <row r="88" spans="1:6" s="14" customFormat="1">
      <c r="A88" s="31">
        <f>A87+1</f>
        <v>69</v>
      </c>
      <c r="B88" s="7" t="s">
        <v>84</v>
      </c>
      <c r="C88" s="15" t="s">
        <v>112</v>
      </c>
      <c r="D88" s="16" t="s">
        <v>90</v>
      </c>
      <c r="E88" s="16">
        <v>2</v>
      </c>
      <c r="F88" s="48"/>
    </row>
    <row r="89" spans="1:6" s="14" customFormat="1">
      <c r="A89" s="31">
        <f>A88+1</f>
        <v>70</v>
      </c>
      <c r="B89" s="91" t="s">
        <v>84</v>
      </c>
      <c r="C89" s="95" t="s">
        <v>113</v>
      </c>
      <c r="D89" s="94" t="s">
        <v>90</v>
      </c>
      <c r="E89" s="94">
        <v>1</v>
      </c>
      <c r="F89" s="48"/>
    </row>
    <row r="90" spans="1:6" s="14" customFormat="1" ht="25.5">
      <c r="A90" s="76"/>
      <c r="B90" s="76" t="s">
        <v>372</v>
      </c>
      <c r="C90" s="170" t="s">
        <v>387</v>
      </c>
      <c r="D90" s="90"/>
      <c r="E90" s="136"/>
      <c r="F90" s="48"/>
    </row>
    <row r="91" spans="1:6" s="14" customFormat="1" ht="25.5">
      <c r="A91" s="31">
        <f>A89+1</f>
        <v>71</v>
      </c>
      <c r="B91" s="7" t="s">
        <v>84</v>
      </c>
      <c r="C91" s="88" t="s">
        <v>127</v>
      </c>
      <c r="D91" s="89" t="s">
        <v>9</v>
      </c>
      <c r="E91" s="62">
        <v>35</v>
      </c>
      <c r="F91" s="48"/>
    </row>
    <row r="92" spans="1:6" s="14" customFormat="1" ht="25.5">
      <c r="A92" s="31">
        <f t="shared" ref="A92:A106" si="2">A91+1</f>
        <v>72</v>
      </c>
      <c r="B92" s="7" t="s">
        <v>84</v>
      </c>
      <c r="C92" s="84" t="s">
        <v>128</v>
      </c>
      <c r="D92" s="85" t="s">
        <v>9</v>
      </c>
      <c r="E92" s="16">
        <v>50</v>
      </c>
      <c r="F92" s="48"/>
    </row>
    <row r="93" spans="1:6" s="14" customFormat="1" ht="25.5">
      <c r="A93" s="31">
        <f t="shared" si="2"/>
        <v>73</v>
      </c>
      <c r="B93" s="7" t="s">
        <v>84</v>
      </c>
      <c r="C93" s="84" t="s">
        <v>150</v>
      </c>
      <c r="D93" s="85" t="s">
        <v>9</v>
      </c>
      <c r="E93" s="16">
        <v>52</v>
      </c>
      <c r="F93" s="48"/>
    </row>
    <row r="94" spans="1:6" s="14" customFormat="1" ht="25.5">
      <c r="A94" s="31">
        <f t="shared" si="2"/>
        <v>74</v>
      </c>
      <c r="B94" s="7" t="s">
        <v>84</v>
      </c>
      <c r="C94" s="15" t="s">
        <v>151</v>
      </c>
      <c r="D94" s="85" t="s">
        <v>9</v>
      </c>
      <c r="E94" s="16">
        <v>4</v>
      </c>
      <c r="F94" s="48"/>
    </row>
    <row r="95" spans="1:6" s="14" customFormat="1" ht="25.5">
      <c r="A95" s="31">
        <f t="shared" si="2"/>
        <v>75</v>
      </c>
      <c r="B95" s="7" t="s">
        <v>84</v>
      </c>
      <c r="C95" s="15" t="s">
        <v>152</v>
      </c>
      <c r="D95" s="16" t="s">
        <v>8</v>
      </c>
      <c r="E95" s="16">
        <v>1</v>
      </c>
      <c r="F95" s="48"/>
    </row>
    <row r="96" spans="1:6" s="14" customFormat="1">
      <c r="A96" s="31">
        <f t="shared" si="2"/>
        <v>76</v>
      </c>
      <c r="B96" s="7" t="s">
        <v>84</v>
      </c>
      <c r="C96" s="84" t="s">
        <v>153</v>
      </c>
      <c r="D96" s="85" t="s">
        <v>90</v>
      </c>
      <c r="E96" s="16">
        <v>1</v>
      </c>
      <c r="F96" s="48"/>
    </row>
    <row r="97" spans="1:6" s="14" customFormat="1">
      <c r="A97" s="31">
        <f t="shared" si="2"/>
        <v>77</v>
      </c>
      <c r="B97" s="7" t="s">
        <v>84</v>
      </c>
      <c r="C97" s="87" t="s">
        <v>129</v>
      </c>
      <c r="D97" s="85" t="s">
        <v>90</v>
      </c>
      <c r="E97" s="16">
        <v>5</v>
      </c>
      <c r="F97" s="48"/>
    </row>
    <row r="98" spans="1:6" s="14" customFormat="1" ht="25.5">
      <c r="A98" s="31">
        <f t="shared" si="2"/>
        <v>78</v>
      </c>
      <c r="B98" s="7" t="s">
        <v>84</v>
      </c>
      <c r="C98" s="87" t="s">
        <v>154</v>
      </c>
      <c r="D98" s="85" t="s">
        <v>8</v>
      </c>
      <c r="E98" s="16">
        <v>5</v>
      </c>
      <c r="F98" s="48"/>
    </row>
    <row r="99" spans="1:6" s="14" customFormat="1" ht="25.5">
      <c r="A99" s="31">
        <f t="shared" si="2"/>
        <v>79</v>
      </c>
      <c r="B99" s="7" t="s">
        <v>84</v>
      </c>
      <c r="C99" s="87" t="s">
        <v>155</v>
      </c>
      <c r="D99" s="85" t="s">
        <v>8</v>
      </c>
      <c r="E99" s="16">
        <v>2</v>
      </c>
      <c r="F99" s="48"/>
    </row>
    <row r="100" spans="1:6" s="14" customFormat="1">
      <c r="A100" s="31">
        <f t="shared" si="2"/>
        <v>80</v>
      </c>
      <c r="B100" s="7" t="s">
        <v>84</v>
      </c>
      <c r="C100" s="97" t="s">
        <v>156</v>
      </c>
      <c r="D100" s="85" t="s">
        <v>90</v>
      </c>
      <c r="E100" s="16">
        <v>1</v>
      </c>
      <c r="F100" s="48"/>
    </row>
    <row r="101" spans="1:6" s="14" customFormat="1">
      <c r="A101" s="31">
        <f t="shared" si="2"/>
        <v>81</v>
      </c>
      <c r="B101" s="7" t="s">
        <v>84</v>
      </c>
      <c r="C101" s="97" t="s">
        <v>157</v>
      </c>
      <c r="D101" s="85" t="s">
        <v>90</v>
      </c>
      <c r="E101" s="16">
        <v>1</v>
      </c>
      <c r="F101" s="48"/>
    </row>
    <row r="102" spans="1:6" s="14" customFormat="1" ht="25.5">
      <c r="A102" s="31">
        <f t="shared" si="2"/>
        <v>82</v>
      </c>
      <c r="B102" s="7" t="s">
        <v>84</v>
      </c>
      <c r="C102" s="87" t="s">
        <v>130</v>
      </c>
      <c r="D102" s="85" t="s">
        <v>9</v>
      </c>
      <c r="E102" s="16">
        <v>55</v>
      </c>
      <c r="F102" s="48"/>
    </row>
    <row r="103" spans="1:6" s="14" customFormat="1" ht="25.5">
      <c r="A103" s="31">
        <f t="shared" si="2"/>
        <v>83</v>
      </c>
      <c r="B103" s="7" t="s">
        <v>84</v>
      </c>
      <c r="C103" s="87" t="s">
        <v>1190</v>
      </c>
      <c r="D103" s="85" t="s">
        <v>9</v>
      </c>
      <c r="E103" s="16">
        <v>35</v>
      </c>
      <c r="F103" s="48"/>
    </row>
    <row r="104" spans="1:6" s="14" customFormat="1" ht="25.5">
      <c r="A104" s="31">
        <f t="shared" si="2"/>
        <v>84</v>
      </c>
      <c r="B104" s="7" t="s">
        <v>84</v>
      </c>
      <c r="C104" s="87" t="s">
        <v>1191</v>
      </c>
      <c r="D104" s="85" t="s">
        <v>9</v>
      </c>
      <c r="E104" s="16">
        <v>5</v>
      </c>
      <c r="F104" s="48"/>
    </row>
    <row r="105" spans="1:6" s="14" customFormat="1" ht="25.5">
      <c r="A105" s="31">
        <f t="shared" si="2"/>
        <v>85</v>
      </c>
      <c r="B105" s="7" t="s">
        <v>84</v>
      </c>
      <c r="C105" s="84" t="s">
        <v>158</v>
      </c>
      <c r="D105" s="85" t="s">
        <v>8</v>
      </c>
      <c r="E105" s="16">
        <v>1</v>
      </c>
      <c r="F105" s="48"/>
    </row>
    <row r="106" spans="1:6" s="14" customFormat="1">
      <c r="A106" s="31">
        <f t="shared" si="2"/>
        <v>86</v>
      </c>
      <c r="B106" s="91" t="s">
        <v>84</v>
      </c>
      <c r="C106" s="92" t="s">
        <v>87</v>
      </c>
      <c r="D106" s="93" t="s">
        <v>8</v>
      </c>
      <c r="E106" s="94">
        <v>1</v>
      </c>
      <c r="F106" s="48"/>
    </row>
    <row r="107" spans="1:6" s="14" customFormat="1" ht="25.5">
      <c r="A107" s="76"/>
      <c r="B107" s="76" t="s">
        <v>372</v>
      </c>
      <c r="C107" s="170" t="s">
        <v>388</v>
      </c>
      <c r="D107" s="80"/>
      <c r="E107" s="135"/>
      <c r="F107" s="48"/>
    </row>
    <row r="108" spans="1:6" s="14" customFormat="1" ht="51">
      <c r="A108" s="31">
        <f>A106+1</f>
        <v>87</v>
      </c>
      <c r="B108" s="7" t="s">
        <v>84</v>
      </c>
      <c r="C108" s="27" t="s">
        <v>1192</v>
      </c>
      <c r="D108" s="28" t="s">
        <v>8</v>
      </c>
      <c r="E108" s="28">
        <v>9</v>
      </c>
      <c r="F108" s="48"/>
    </row>
    <row r="109" spans="1:6" s="14" customFormat="1" ht="38.25">
      <c r="A109" s="31">
        <f t="shared" ref="A109:A120" si="3">A108+1</f>
        <v>88</v>
      </c>
      <c r="B109" s="7" t="s">
        <v>84</v>
      </c>
      <c r="C109" s="10" t="s">
        <v>1193</v>
      </c>
      <c r="D109" s="9" t="s">
        <v>8</v>
      </c>
      <c r="E109" s="9">
        <v>5</v>
      </c>
      <c r="F109" s="48"/>
    </row>
    <row r="110" spans="1:6" s="14" customFormat="1" ht="38.25">
      <c r="A110" s="31">
        <f t="shared" si="3"/>
        <v>89</v>
      </c>
      <c r="B110" s="7" t="s">
        <v>84</v>
      </c>
      <c r="C110" s="10" t="s">
        <v>1194</v>
      </c>
      <c r="D110" s="9" t="s">
        <v>8</v>
      </c>
      <c r="E110" s="9">
        <v>1</v>
      </c>
      <c r="F110" s="48"/>
    </row>
    <row r="111" spans="1:6" s="14" customFormat="1" ht="38.25">
      <c r="A111" s="31">
        <f t="shared" si="3"/>
        <v>90</v>
      </c>
      <c r="B111" s="7" t="s">
        <v>84</v>
      </c>
      <c r="C111" s="10" t="s">
        <v>1195</v>
      </c>
      <c r="D111" s="9" t="s">
        <v>8</v>
      </c>
      <c r="E111" s="9">
        <v>5</v>
      </c>
      <c r="F111" s="48"/>
    </row>
    <row r="112" spans="1:6" s="14" customFormat="1" ht="25.5">
      <c r="A112" s="31">
        <f t="shared" si="3"/>
        <v>91</v>
      </c>
      <c r="B112" s="7" t="s">
        <v>84</v>
      </c>
      <c r="C112" s="10" t="s">
        <v>1196</v>
      </c>
      <c r="D112" s="9" t="s">
        <v>8</v>
      </c>
      <c r="E112" s="9">
        <v>5</v>
      </c>
      <c r="F112" s="48"/>
    </row>
    <row r="113" spans="1:6" s="14" customFormat="1" ht="25.5">
      <c r="A113" s="31">
        <f t="shared" si="3"/>
        <v>92</v>
      </c>
      <c r="B113" s="7" t="s">
        <v>84</v>
      </c>
      <c r="C113" s="10" t="s">
        <v>131</v>
      </c>
      <c r="D113" s="9" t="s">
        <v>8</v>
      </c>
      <c r="E113" s="9">
        <v>1</v>
      </c>
      <c r="F113" s="48"/>
    </row>
    <row r="114" spans="1:6" s="14" customFormat="1" ht="25.5">
      <c r="A114" s="31">
        <f t="shared" si="3"/>
        <v>93</v>
      </c>
      <c r="B114" s="7" t="s">
        <v>84</v>
      </c>
      <c r="C114" s="10" t="s">
        <v>1197</v>
      </c>
      <c r="D114" s="9" t="s">
        <v>8</v>
      </c>
      <c r="E114" s="9">
        <v>1</v>
      </c>
      <c r="F114" s="48"/>
    </row>
    <row r="115" spans="1:6" s="14" customFormat="1" ht="25.5">
      <c r="A115" s="31">
        <f t="shared" si="3"/>
        <v>94</v>
      </c>
      <c r="B115" s="7" t="s">
        <v>84</v>
      </c>
      <c r="C115" s="10" t="s">
        <v>1198</v>
      </c>
      <c r="D115" s="9" t="s">
        <v>8</v>
      </c>
      <c r="E115" s="9">
        <v>1</v>
      </c>
      <c r="F115" s="48"/>
    </row>
    <row r="116" spans="1:6" s="14" customFormat="1" ht="38.25">
      <c r="A116" s="31">
        <f t="shared" si="3"/>
        <v>95</v>
      </c>
      <c r="B116" s="7" t="s">
        <v>84</v>
      </c>
      <c r="C116" s="10" t="s">
        <v>1199</v>
      </c>
      <c r="D116" s="9" t="s">
        <v>8</v>
      </c>
      <c r="E116" s="9">
        <v>1</v>
      </c>
      <c r="F116" s="48"/>
    </row>
    <row r="117" spans="1:6" s="14" customFormat="1" ht="25.5">
      <c r="A117" s="31">
        <f t="shared" si="3"/>
        <v>96</v>
      </c>
      <c r="B117" s="7" t="s">
        <v>84</v>
      </c>
      <c r="C117" s="10" t="s">
        <v>1196</v>
      </c>
      <c r="D117" s="9" t="s">
        <v>8</v>
      </c>
      <c r="E117" s="9">
        <v>1</v>
      </c>
      <c r="F117" s="48"/>
    </row>
    <row r="118" spans="1:6" s="14" customFormat="1" ht="25.5">
      <c r="A118" s="31">
        <f t="shared" si="3"/>
        <v>97</v>
      </c>
      <c r="B118" s="7" t="s">
        <v>84</v>
      </c>
      <c r="C118" s="10" t="s">
        <v>132</v>
      </c>
      <c r="D118" s="9" t="s">
        <v>8</v>
      </c>
      <c r="E118" s="9">
        <v>9</v>
      </c>
      <c r="F118" s="48"/>
    </row>
    <row r="119" spans="1:6" s="14" customFormat="1" ht="25.5">
      <c r="A119" s="31">
        <f t="shared" si="3"/>
        <v>98</v>
      </c>
      <c r="B119" s="7" t="s">
        <v>84</v>
      </c>
      <c r="C119" s="10" t="s">
        <v>133</v>
      </c>
      <c r="D119" s="9" t="s">
        <v>8</v>
      </c>
      <c r="E119" s="9">
        <v>8</v>
      </c>
      <c r="F119" s="48"/>
    </row>
    <row r="120" spans="1:6" s="14" customFormat="1">
      <c r="A120" s="31">
        <f t="shared" si="3"/>
        <v>99</v>
      </c>
      <c r="B120" s="91" t="s">
        <v>84</v>
      </c>
      <c r="C120" s="40" t="s">
        <v>134</v>
      </c>
      <c r="D120" s="26" t="s">
        <v>8</v>
      </c>
      <c r="E120" s="26">
        <v>1</v>
      </c>
      <c r="F120" s="48"/>
    </row>
    <row r="121" spans="1:6" s="14" customFormat="1" ht="25.5">
      <c r="A121" s="76"/>
      <c r="B121" s="76" t="s">
        <v>372</v>
      </c>
      <c r="C121" s="170" t="s">
        <v>389</v>
      </c>
      <c r="D121" s="98"/>
      <c r="E121" s="130"/>
      <c r="F121" s="48"/>
    </row>
    <row r="122" spans="1:6" s="14" customFormat="1" ht="25.5">
      <c r="A122" s="31">
        <f>A120+1</f>
        <v>100</v>
      </c>
      <c r="B122" s="7" t="s">
        <v>84</v>
      </c>
      <c r="C122" s="61" t="s">
        <v>135</v>
      </c>
      <c r="D122" s="62" t="s">
        <v>90</v>
      </c>
      <c r="E122" s="62">
        <v>1</v>
      </c>
      <c r="F122" s="48"/>
    </row>
    <row r="123" spans="1:6" s="14" customFormat="1" ht="25.5">
      <c r="A123" s="31">
        <f>A122+1</f>
        <v>101</v>
      </c>
      <c r="B123" s="7" t="s">
        <v>84</v>
      </c>
      <c r="C123" s="15" t="s">
        <v>136</v>
      </c>
      <c r="D123" s="16" t="s">
        <v>90</v>
      </c>
      <c r="E123" s="16">
        <v>2</v>
      </c>
      <c r="F123" s="48"/>
    </row>
    <row r="124" spans="1:6" s="14" customFormat="1" ht="25.5">
      <c r="A124" s="31">
        <f>A123+1</f>
        <v>102</v>
      </c>
      <c r="B124" s="7" t="s">
        <v>84</v>
      </c>
      <c r="C124" s="15" t="s">
        <v>137</v>
      </c>
      <c r="D124" s="16" t="s">
        <v>90</v>
      </c>
      <c r="E124" s="16">
        <v>14</v>
      </c>
      <c r="F124" s="48"/>
    </row>
    <row r="125" spans="1:6" s="14" customFormat="1">
      <c r="A125" s="31">
        <f>A124+1</f>
        <v>103</v>
      </c>
      <c r="B125" s="7" t="s">
        <v>84</v>
      </c>
      <c r="C125" s="84" t="s">
        <v>88</v>
      </c>
      <c r="D125" s="16" t="s">
        <v>8</v>
      </c>
      <c r="E125" s="16">
        <v>1</v>
      </c>
      <c r="F125" s="48"/>
    </row>
    <row r="126" spans="1:6" s="14" customFormat="1">
      <c r="A126" s="31">
        <f>A125+1</f>
        <v>104</v>
      </c>
      <c r="B126" s="7" t="s">
        <v>84</v>
      </c>
      <c r="C126" s="86" t="s">
        <v>89</v>
      </c>
      <c r="D126" s="59" t="s">
        <v>8</v>
      </c>
      <c r="E126" s="59">
        <v>1</v>
      </c>
      <c r="F126" s="48"/>
    </row>
    <row r="127" spans="1:6" s="45" customFormat="1">
      <c r="A127" s="283"/>
      <c r="B127" s="283"/>
      <c r="C127" s="37" t="s">
        <v>0</v>
      </c>
      <c r="D127" s="38"/>
      <c r="E127" s="39"/>
      <c r="F127" s="44"/>
    </row>
    <row r="128" spans="1:6" s="21" customFormat="1">
      <c r="A128" s="19"/>
      <c r="B128" s="19"/>
      <c r="C128" s="20"/>
    </row>
    <row r="129" spans="1:6" s="3" customFormat="1">
      <c r="A129" s="22"/>
      <c r="B129" s="6"/>
      <c r="C129" s="20"/>
      <c r="D129" s="20"/>
      <c r="E129" s="255"/>
      <c r="F129" s="2"/>
    </row>
    <row r="130" spans="1:6" s="3" customFormat="1">
      <c r="A130" s="331" t="s">
        <v>14</v>
      </c>
      <c r="B130" s="331"/>
      <c r="C130" s="275" t="s">
        <v>1082</v>
      </c>
      <c r="D130" s="20"/>
      <c r="E130" s="255"/>
      <c r="F130" s="2"/>
    </row>
    <row r="131" spans="1:6">
      <c r="B131" s="6"/>
      <c r="C131" s="74" t="s">
        <v>15</v>
      </c>
      <c r="D131" s="20"/>
      <c r="E131" s="255"/>
    </row>
    <row r="132" spans="1:6">
      <c r="B132" s="6"/>
      <c r="C132" s="238" t="s">
        <v>21</v>
      </c>
      <c r="D132" s="20"/>
      <c r="E132" s="255"/>
    </row>
    <row r="133" spans="1:6">
      <c r="B133" s="6"/>
      <c r="C133" s="6" t="s">
        <v>1086</v>
      </c>
      <c r="D133" s="20"/>
      <c r="E133" s="255"/>
    </row>
  </sheetData>
  <mergeCells count="7">
    <mergeCell ref="A130:B130"/>
    <mergeCell ref="A1:E1"/>
    <mergeCell ref="A2:E2"/>
    <mergeCell ref="A11:A12"/>
    <mergeCell ref="B11:B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3"/>
  <sheetViews>
    <sheetView view="pageBreakPreview" topLeftCell="A67" zoomScaleNormal="280" zoomScaleSheetLayoutView="100" workbookViewId="0">
      <selection activeCell="E108" sqref="E108"/>
    </sheetView>
  </sheetViews>
  <sheetFormatPr defaultColWidth="5.5703125" defaultRowHeight="12.75"/>
  <cols>
    <col min="1" max="2" width="6.42578125" style="215" customWidth="1"/>
    <col min="3" max="3" width="30.5703125" style="215" customWidth="1"/>
    <col min="4" max="4" width="15.42578125" style="219" customWidth="1"/>
    <col min="5" max="5" width="10.5703125" style="219" customWidth="1"/>
    <col min="6" max="6" width="6.42578125" style="215" customWidth="1"/>
    <col min="7" max="7" width="7.85546875" style="215" customWidth="1"/>
    <col min="8" max="8" width="5.7109375" style="216" customWidth="1"/>
    <col min="9" max="9" width="5.5703125" style="216"/>
    <col min="10" max="10" width="6.7109375" style="215" customWidth="1"/>
    <col min="11" max="16384" width="5.5703125" style="215"/>
  </cols>
  <sheetData>
    <row r="1" spans="1:10" s="184" customFormat="1">
      <c r="A1" s="338" t="s">
        <v>1092</v>
      </c>
      <c r="B1" s="338"/>
      <c r="C1" s="338"/>
      <c r="D1" s="338"/>
      <c r="E1" s="338"/>
      <c r="F1" s="338"/>
      <c r="G1" s="338"/>
      <c r="H1" s="182"/>
      <c r="I1" s="183"/>
    </row>
    <row r="2" spans="1:10" s="184" customFormat="1">
      <c r="A2" s="339" t="s">
        <v>22</v>
      </c>
      <c r="B2" s="339"/>
      <c r="C2" s="339"/>
      <c r="D2" s="339"/>
      <c r="E2" s="339"/>
      <c r="F2" s="339"/>
      <c r="G2" s="339"/>
      <c r="H2" s="183"/>
      <c r="I2" s="183"/>
    </row>
    <row r="3" spans="1:10" s="184" customFormat="1">
      <c r="A3" s="287"/>
      <c r="B3" s="287"/>
      <c r="C3" s="287"/>
      <c r="D3" s="287"/>
      <c r="E3" s="287"/>
      <c r="F3" s="287"/>
      <c r="G3" s="287"/>
      <c r="H3" s="183"/>
      <c r="I3" s="183"/>
    </row>
    <row r="4" spans="1:10" s="184" customFormat="1">
      <c r="A4" s="4" t="s">
        <v>19</v>
      </c>
      <c r="B4" s="185"/>
      <c r="C4" s="183"/>
      <c r="D4" s="186"/>
      <c r="E4" s="186"/>
      <c r="F4" s="187"/>
      <c r="G4" s="187"/>
      <c r="H4" s="183"/>
      <c r="I4" s="183"/>
    </row>
    <row r="5" spans="1:10" s="184" customFormat="1">
      <c r="A5" s="4" t="s">
        <v>13</v>
      </c>
      <c r="B5" s="185"/>
      <c r="C5" s="183"/>
      <c r="D5" s="186"/>
      <c r="E5" s="186"/>
      <c r="F5" s="187"/>
      <c r="G5" s="187"/>
      <c r="H5" s="183"/>
      <c r="I5" s="183"/>
    </row>
    <row r="6" spans="1:10" s="184" customFormat="1">
      <c r="A6" s="4" t="s">
        <v>18</v>
      </c>
      <c r="B6" s="185"/>
      <c r="C6" s="183"/>
      <c r="D6" s="186"/>
      <c r="E6" s="186"/>
      <c r="F6" s="187"/>
      <c r="G6" s="187"/>
      <c r="H6" s="183"/>
      <c r="I6" s="183"/>
    </row>
    <row r="7" spans="1:10" s="184" customFormat="1">
      <c r="A7" s="4" t="s">
        <v>1083</v>
      </c>
      <c r="B7" s="185"/>
      <c r="C7" s="183"/>
      <c r="D7" s="186"/>
      <c r="E7" s="186"/>
      <c r="F7" s="187"/>
      <c r="G7" s="187"/>
      <c r="H7" s="183"/>
      <c r="I7" s="183"/>
    </row>
    <row r="8" spans="1:10" s="184" customFormat="1">
      <c r="A8" s="3" t="s">
        <v>12</v>
      </c>
      <c r="B8" s="185"/>
      <c r="C8" s="183"/>
      <c r="D8" s="186"/>
      <c r="E8" s="186"/>
      <c r="F8" s="187"/>
      <c r="G8" s="187"/>
      <c r="H8" s="183"/>
      <c r="I8" s="183"/>
    </row>
    <row r="9" spans="1:10" s="184" customFormat="1">
      <c r="A9" s="3" t="s">
        <v>17</v>
      </c>
      <c r="C9" s="188"/>
      <c r="D9" s="189"/>
      <c r="E9" s="189"/>
      <c r="F9" s="187"/>
      <c r="H9" s="183"/>
      <c r="I9" s="183"/>
    </row>
    <row r="10" spans="1:10" s="184" customFormat="1">
      <c r="C10" s="188"/>
      <c r="D10" s="189"/>
      <c r="E10" s="189"/>
      <c r="F10" s="187"/>
      <c r="H10" s="183"/>
      <c r="I10" s="183"/>
    </row>
    <row r="11" spans="1:10" s="184" customFormat="1" ht="12.75" customHeight="1">
      <c r="A11" s="340" t="s">
        <v>3</v>
      </c>
      <c r="B11" s="340" t="s">
        <v>4</v>
      </c>
      <c r="C11" s="345" t="s">
        <v>6</v>
      </c>
      <c r="D11" s="346"/>
      <c r="E11" s="347"/>
      <c r="F11" s="340" t="s">
        <v>1</v>
      </c>
      <c r="G11" s="351" t="s">
        <v>2</v>
      </c>
      <c r="H11" s="183"/>
      <c r="I11" s="183"/>
    </row>
    <row r="12" spans="1:10" s="184" customFormat="1" ht="55.5" customHeight="1">
      <c r="A12" s="341"/>
      <c r="B12" s="341"/>
      <c r="C12" s="348"/>
      <c r="D12" s="349"/>
      <c r="E12" s="350"/>
      <c r="F12" s="341"/>
      <c r="G12" s="351"/>
      <c r="H12" s="183"/>
      <c r="I12" s="183"/>
    </row>
    <row r="13" spans="1:10" s="191" customFormat="1" ht="12.75" customHeight="1">
      <c r="A13" s="221"/>
      <c r="B13" s="221" t="s">
        <v>373</v>
      </c>
      <c r="C13" s="222" t="s">
        <v>733</v>
      </c>
      <c r="D13" s="223"/>
      <c r="E13" s="223"/>
      <c r="F13" s="224"/>
      <c r="G13" s="225"/>
      <c r="H13" s="190"/>
      <c r="I13" s="190"/>
    </row>
    <row r="14" spans="1:10" s="199" customFormat="1" ht="25.5">
      <c r="A14" s="192">
        <v>1</v>
      </c>
      <c r="B14" s="193"/>
      <c r="C14" s="194" t="s">
        <v>1201</v>
      </c>
      <c r="D14" s="195" t="s">
        <v>734</v>
      </c>
      <c r="E14" s="196"/>
      <c r="F14" s="197" t="s">
        <v>735</v>
      </c>
      <c r="G14" s="198">
        <v>245</v>
      </c>
      <c r="H14" s="190"/>
      <c r="I14" s="190"/>
      <c r="J14" s="190"/>
    </row>
    <row r="15" spans="1:10" s="199" customFormat="1" ht="25.5">
      <c r="A15" s="192">
        <f>A14+1</f>
        <v>2</v>
      </c>
      <c r="B15" s="193"/>
      <c r="C15" s="194" t="s">
        <v>1201</v>
      </c>
      <c r="D15" s="200" t="s">
        <v>736</v>
      </c>
      <c r="E15" s="201"/>
      <c r="F15" s="202" t="s">
        <v>735</v>
      </c>
      <c r="G15" s="203">
        <v>76</v>
      </c>
      <c r="H15" s="190"/>
      <c r="I15" s="190"/>
      <c r="J15" s="190"/>
    </row>
    <row r="16" spans="1:10" s="199" customFormat="1" ht="25.5">
      <c r="A16" s="192">
        <f t="shared" ref="A16:A79" si="0">A15+1</f>
        <v>3</v>
      </c>
      <c r="B16" s="193"/>
      <c r="C16" s="194" t="s">
        <v>1201</v>
      </c>
      <c r="D16" s="200" t="s">
        <v>737</v>
      </c>
      <c r="E16" s="201"/>
      <c r="F16" s="202" t="s">
        <v>735</v>
      </c>
      <c r="G16" s="203">
        <v>10</v>
      </c>
      <c r="H16" s="190"/>
      <c r="I16" s="190"/>
      <c r="J16" s="190"/>
    </row>
    <row r="17" spans="1:10" s="199" customFormat="1" ht="25.5">
      <c r="A17" s="192">
        <f t="shared" si="0"/>
        <v>4</v>
      </c>
      <c r="B17" s="193"/>
      <c r="C17" s="194" t="s">
        <v>1201</v>
      </c>
      <c r="D17" s="200" t="s">
        <v>738</v>
      </c>
      <c r="E17" s="201"/>
      <c r="F17" s="202" t="s">
        <v>735</v>
      </c>
      <c r="G17" s="203">
        <v>25</v>
      </c>
      <c r="H17" s="190"/>
      <c r="I17" s="190"/>
      <c r="J17" s="190"/>
    </row>
    <row r="18" spans="1:10" s="199" customFormat="1">
      <c r="A18" s="192">
        <f t="shared" si="0"/>
        <v>5</v>
      </c>
      <c r="B18" s="193"/>
      <c r="C18" s="204" t="s">
        <v>739</v>
      </c>
      <c r="D18" s="200"/>
      <c r="E18" s="201"/>
      <c r="F18" s="202" t="s">
        <v>740</v>
      </c>
      <c r="G18" s="203">
        <v>1</v>
      </c>
      <c r="H18" s="190"/>
      <c r="I18" s="190"/>
      <c r="J18" s="190"/>
    </row>
    <row r="19" spans="1:10" s="199" customFormat="1" ht="51">
      <c r="A19" s="192">
        <f t="shared" si="0"/>
        <v>6</v>
      </c>
      <c r="B19" s="193"/>
      <c r="C19" s="204" t="s">
        <v>1202</v>
      </c>
      <c r="D19" s="200" t="s">
        <v>741</v>
      </c>
      <c r="E19" s="201"/>
      <c r="F19" s="202" t="s">
        <v>742</v>
      </c>
      <c r="G19" s="203">
        <v>1</v>
      </c>
      <c r="H19" s="190"/>
      <c r="I19" s="190"/>
      <c r="J19" s="190"/>
    </row>
    <row r="20" spans="1:10" s="199" customFormat="1" ht="51">
      <c r="A20" s="192">
        <f t="shared" si="0"/>
        <v>7</v>
      </c>
      <c r="B20" s="193"/>
      <c r="C20" s="204" t="s">
        <v>1202</v>
      </c>
      <c r="D20" s="200" t="s">
        <v>743</v>
      </c>
      <c r="E20" s="201"/>
      <c r="F20" s="202" t="s">
        <v>742</v>
      </c>
      <c r="G20" s="203">
        <v>1</v>
      </c>
      <c r="H20" s="190"/>
      <c r="I20" s="190"/>
      <c r="J20" s="190"/>
    </row>
    <row r="21" spans="1:10" s="199" customFormat="1" ht="51">
      <c r="A21" s="192">
        <f t="shared" si="0"/>
        <v>8</v>
      </c>
      <c r="B21" s="193"/>
      <c r="C21" s="204" t="s">
        <v>1202</v>
      </c>
      <c r="D21" s="200" t="s">
        <v>744</v>
      </c>
      <c r="E21" s="201"/>
      <c r="F21" s="202" t="s">
        <v>742</v>
      </c>
      <c r="G21" s="203">
        <v>2</v>
      </c>
      <c r="H21" s="190"/>
      <c r="I21" s="190"/>
      <c r="J21" s="190"/>
    </row>
    <row r="22" spans="1:10" s="199" customFormat="1" ht="51">
      <c r="A22" s="192">
        <f t="shared" si="0"/>
        <v>9</v>
      </c>
      <c r="B22" s="193"/>
      <c r="C22" s="204" t="s">
        <v>1202</v>
      </c>
      <c r="D22" s="200" t="s">
        <v>745</v>
      </c>
      <c r="E22" s="201"/>
      <c r="F22" s="202" t="s">
        <v>742</v>
      </c>
      <c r="G22" s="203">
        <v>1</v>
      </c>
      <c r="H22" s="190"/>
      <c r="I22" s="190"/>
      <c r="J22" s="190"/>
    </row>
    <row r="23" spans="1:10" s="199" customFormat="1" ht="51">
      <c r="A23" s="192">
        <f t="shared" si="0"/>
        <v>10</v>
      </c>
      <c r="B23" s="193"/>
      <c r="C23" s="204" t="s">
        <v>1202</v>
      </c>
      <c r="D23" s="200" t="s">
        <v>746</v>
      </c>
      <c r="E23" s="201"/>
      <c r="F23" s="202" t="s">
        <v>742</v>
      </c>
      <c r="G23" s="203">
        <v>1</v>
      </c>
      <c r="H23" s="190"/>
      <c r="I23" s="190"/>
      <c r="J23" s="190"/>
    </row>
    <row r="24" spans="1:10" s="199" customFormat="1" ht="51">
      <c r="A24" s="192">
        <f t="shared" si="0"/>
        <v>11</v>
      </c>
      <c r="B24" s="193"/>
      <c r="C24" s="204" t="s">
        <v>1202</v>
      </c>
      <c r="D24" s="200" t="s">
        <v>747</v>
      </c>
      <c r="E24" s="201"/>
      <c r="F24" s="202" t="s">
        <v>742</v>
      </c>
      <c r="G24" s="203">
        <v>2</v>
      </c>
      <c r="H24" s="190"/>
      <c r="I24" s="190"/>
      <c r="J24" s="190"/>
    </row>
    <row r="25" spans="1:10" s="199" customFormat="1" ht="51">
      <c r="A25" s="192">
        <f t="shared" si="0"/>
        <v>12</v>
      </c>
      <c r="B25" s="193"/>
      <c r="C25" s="204" t="s">
        <v>1202</v>
      </c>
      <c r="D25" s="200" t="s">
        <v>748</v>
      </c>
      <c r="E25" s="201"/>
      <c r="F25" s="202" t="s">
        <v>742</v>
      </c>
      <c r="G25" s="203">
        <v>1</v>
      </c>
      <c r="H25" s="190"/>
      <c r="I25" s="190"/>
      <c r="J25" s="190"/>
    </row>
    <row r="26" spans="1:10" s="199" customFormat="1" ht="51">
      <c r="A26" s="192">
        <f t="shared" si="0"/>
        <v>13</v>
      </c>
      <c r="B26" s="193"/>
      <c r="C26" s="204" t="s">
        <v>1203</v>
      </c>
      <c r="D26" s="200" t="s">
        <v>749</v>
      </c>
      <c r="E26" s="201"/>
      <c r="F26" s="202" t="s">
        <v>742</v>
      </c>
      <c r="G26" s="203">
        <v>11</v>
      </c>
      <c r="H26" s="190"/>
      <c r="I26" s="190"/>
      <c r="J26" s="190"/>
    </row>
    <row r="27" spans="1:10" s="199" customFormat="1" ht="51">
      <c r="A27" s="192">
        <f t="shared" si="0"/>
        <v>14</v>
      </c>
      <c r="B27" s="193"/>
      <c r="C27" s="204" t="s">
        <v>1203</v>
      </c>
      <c r="D27" s="200" t="s">
        <v>750</v>
      </c>
      <c r="E27" s="201"/>
      <c r="F27" s="202" t="s">
        <v>742</v>
      </c>
      <c r="G27" s="203">
        <v>3</v>
      </c>
      <c r="H27" s="190"/>
      <c r="I27" s="190"/>
      <c r="J27" s="190"/>
    </row>
    <row r="28" spans="1:10" s="199" customFormat="1" ht="51">
      <c r="A28" s="192">
        <f t="shared" si="0"/>
        <v>15</v>
      </c>
      <c r="B28" s="193"/>
      <c r="C28" s="204" t="s">
        <v>1203</v>
      </c>
      <c r="D28" s="200" t="s">
        <v>751</v>
      </c>
      <c r="E28" s="201"/>
      <c r="F28" s="202" t="s">
        <v>742</v>
      </c>
      <c r="G28" s="203">
        <v>7</v>
      </c>
      <c r="H28" s="190"/>
      <c r="I28" s="190"/>
      <c r="J28" s="190"/>
    </row>
    <row r="29" spans="1:10" s="199" customFormat="1" ht="51">
      <c r="A29" s="192">
        <f t="shared" si="0"/>
        <v>16</v>
      </c>
      <c r="B29" s="193"/>
      <c r="C29" s="204" t="s">
        <v>1203</v>
      </c>
      <c r="D29" s="200" t="s">
        <v>752</v>
      </c>
      <c r="E29" s="201"/>
      <c r="F29" s="202" t="s">
        <v>742</v>
      </c>
      <c r="G29" s="203">
        <v>2</v>
      </c>
      <c r="H29" s="190"/>
      <c r="I29" s="190"/>
      <c r="J29" s="190"/>
    </row>
    <row r="30" spans="1:10" s="199" customFormat="1" ht="51">
      <c r="A30" s="192">
        <f t="shared" si="0"/>
        <v>17</v>
      </c>
      <c r="B30" s="193"/>
      <c r="C30" s="204" t="s">
        <v>1203</v>
      </c>
      <c r="D30" s="200" t="s">
        <v>753</v>
      </c>
      <c r="E30" s="201"/>
      <c r="F30" s="202" t="s">
        <v>742</v>
      </c>
      <c r="G30" s="203">
        <v>2</v>
      </c>
      <c r="H30" s="190"/>
      <c r="I30" s="190"/>
      <c r="J30" s="190"/>
    </row>
    <row r="31" spans="1:10" s="199" customFormat="1" ht="51">
      <c r="A31" s="192">
        <f t="shared" si="0"/>
        <v>18</v>
      </c>
      <c r="B31" s="193"/>
      <c r="C31" s="204" t="s">
        <v>1203</v>
      </c>
      <c r="D31" s="200" t="s">
        <v>754</v>
      </c>
      <c r="E31" s="201"/>
      <c r="F31" s="202" t="s">
        <v>742</v>
      </c>
      <c r="G31" s="203">
        <v>1</v>
      </c>
      <c r="H31" s="190"/>
      <c r="I31" s="190"/>
      <c r="J31" s="190"/>
    </row>
    <row r="32" spans="1:10" s="199" customFormat="1" ht="51">
      <c r="A32" s="192">
        <f t="shared" si="0"/>
        <v>19</v>
      </c>
      <c r="B32" s="193"/>
      <c r="C32" s="204" t="s">
        <v>1203</v>
      </c>
      <c r="D32" s="200" t="s">
        <v>755</v>
      </c>
      <c r="E32" s="201"/>
      <c r="F32" s="202" t="s">
        <v>742</v>
      </c>
      <c r="G32" s="203">
        <v>1</v>
      </c>
      <c r="H32" s="190"/>
      <c r="I32" s="190"/>
      <c r="J32" s="190"/>
    </row>
    <row r="33" spans="1:10" s="199" customFormat="1" ht="25.5">
      <c r="A33" s="192">
        <f t="shared" si="0"/>
        <v>20</v>
      </c>
      <c r="B33" s="193"/>
      <c r="C33" s="204" t="s">
        <v>756</v>
      </c>
      <c r="D33" s="200" t="s">
        <v>734</v>
      </c>
      <c r="E33" s="201"/>
      <c r="F33" s="202" t="s">
        <v>735</v>
      </c>
      <c r="G33" s="203">
        <v>245</v>
      </c>
      <c r="H33" s="190"/>
      <c r="I33" s="190"/>
      <c r="J33" s="190"/>
    </row>
    <row r="34" spans="1:10" s="199" customFormat="1" ht="25.5">
      <c r="A34" s="192">
        <f t="shared" si="0"/>
        <v>21</v>
      </c>
      <c r="B34" s="193"/>
      <c r="C34" s="204" t="s">
        <v>756</v>
      </c>
      <c r="D34" s="200" t="s">
        <v>736</v>
      </c>
      <c r="E34" s="201"/>
      <c r="F34" s="202" t="s">
        <v>735</v>
      </c>
      <c r="G34" s="203">
        <v>76</v>
      </c>
      <c r="H34" s="190"/>
      <c r="I34" s="190"/>
      <c r="J34" s="190"/>
    </row>
    <row r="35" spans="1:10" s="199" customFormat="1" ht="25.5">
      <c r="A35" s="192">
        <f t="shared" si="0"/>
        <v>22</v>
      </c>
      <c r="B35" s="193"/>
      <c r="C35" s="204" t="s">
        <v>756</v>
      </c>
      <c r="D35" s="200" t="s">
        <v>737</v>
      </c>
      <c r="E35" s="201"/>
      <c r="F35" s="202" t="s">
        <v>735</v>
      </c>
      <c r="G35" s="203">
        <v>10</v>
      </c>
      <c r="H35" s="190"/>
      <c r="I35" s="190"/>
      <c r="J35" s="190"/>
    </row>
    <row r="36" spans="1:10" s="199" customFormat="1" ht="25.5">
      <c r="A36" s="192">
        <f t="shared" si="0"/>
        <v>23</v>
      </c>
      <c r="B36" s="193"/>
      <c r="C36" s="204" t="s">
        <v>756</v>
      </c>
      <c r="D36" s="200" t="s">
        <v>738</v>
      </c>
      <c r="E36" s="201"/>
      <c r="F36" s="202" t="s">
        <v>735</v>
      </c>
      <c r="G36" s="203">
        <v>25</v>
      </c>
      <c r="H36" s="190"/>
      <c r="I36" s="190"/>
      <c r="J36" s="190"/>
    </row>
    <row r="37" spans="1:10" s="199" customFormat="1" ht="56.25">
      <c r="A37" s="192">
        <f t="shared" si="0"/>
        <v>24</v>
      </c>
      <c r="B37" s="193"/>
      <c r="C37" s="204" t="s">
        <v>757</v>
      </c>
      <c r="D37" s="200" t="s">
        <v>758</v>
      </c>
      <c r="E37" s="201" t="s">
        <v>1204</v>
      </c>
      <c r="F37" s="202" t="s">
        <v>742</v>
      </c>
      <c r="G37" s="203">
        <v>2</v>
      </c>
      <c r="H37" s="190"/>
      <c r="I37" s="190"/>
      <c r="J37" s="190"/>
    </row>
    <row r="38" spans="1:10" s="199" customFormat="1" ht="56.25">
      <c r="A38" s="192">
        <f t="shared" si="0"/>
        <v>25</v>
      </c>
      <c r="B38" s="193"/>
      <c r="C38" s="204" t="s">
        <v>757</v>
      </c>
      <c r="D38" s="200" t="s">
        <v>759</v>
      </c>
      <c r="E38" s="201" t="s">
        <v>1204</v>
      </c>
      <c r="F38" s="202" t="s">
        <v>742</v>
      </c>
      <c r="G38" s="203">
        <v>2</v>
      </c>
      <c r="H38" s="190"/>
      <c r="I38" s="190"/>
      <c r="J38" s="190"/>
    </row>
    <row r="39" spans="1:10" s="199" customFormat="1" ht="56.25">
      <c r="A39" s="192">
        <f t="shared" si="0"/>
        <v>26</v>
      </c>
      <c r="B39" s="193"/>
      <c r="C39" s="204" t="s">
        <v>757</v>
      </c>
      <c r="D39" s="200" t="s">
        <v>760</v>
      </c>
      <c r="E39" s="201" t="s">
        <v>1204</v>
      </c>
      <c r="F39" s="202" t="s">
        <v>742</v>
      </c>
      <c r="G39" s="203">
        <v>1</v>
      </c>
      <c r="H39" s="190"/>
      <c r="I39" s="190"/>
      <c r="J39" s="190"/>
    </row>
    <row r="40" spans="1:10" s="199" customFormat="1">
      <c r="A40" s="192">
        <f t="shared" si="0"/>
        <v>27</v>
      </c>
      <c r="B40" s="193"/>
      <c r="C40" s="204" t="s">
        <v>761</v>
      </c>
      <c r="D40" s="200" t="s">
        <v>762</v>
      </c>
      <c r="E40" s="201"/>
      <c r="F40" s="202" t="s">
        <v>742</v>
      </c>
      <c r="G40" s="203">
        <v>2</v>
      </c>
      <c r="H40" s="190"/>
      <c r="I40" s="190"/>
      <c r="J40" s="190"/>
    </row>
    <row r="41" spans="1:10" s="199" customFormat="1">
      <c r="A41" s="192">
        <f t="shared" si="0"/>
        <v>28</v>
      </c>
      <c r="B41" s="193"/>
      <c r="C41" s="204" t="s">
        <v>761</v>
      </c>
      <c r="D41" s="200" t="s">
        <v>763</v>
      </c>
      <c r="E41" s="201"/>
      <c r="F41" s="202" t="s">
        <v>742</v>
      </c>
      <c r="G41" s="203">
        <v>2</v>
      </c>
      <c r="H41" s="190"/>
      <c r="I41" s="190"/>
      <c r="J41" s="190"/>
    </row>
    <row r="42" spans="1:10" s="199" customFormat="1">
      <c r="A42" s="192">
        <f t="shared" si="0"/>
        <v>29</v>
      </c>
      <c r="B42" s="193"/>
      <c r="C42" s="204" t="s">
        <v>761</v>
      </c>
      <c r="D42" s="200" t="s">
        <v>764</v>
      </c>
      <c r="E42" s="201"/>
      <c r="F42" s="202" t="s">
        <v>742</v>
      </c>
      <c r="G42" s="203">
        <v>1</v>
      </c>
      <c r="H42" s="190"/>
      <c r="I42" s="190"/>
      <c r="J42" s="190"/>
    </row>
    <row r="43" spans="1:10" s="199" customFormat="1" ht="25.5">
      <c r="A43" s="192">
        <f t="shared" si="0"/>
        <v>30</v>
      </c>
      <c r="B43" s="193"/>
      <c r="C43" s="204" t="s">
        <v>1080</v>
      </c>
      <c r="D43" s="200" t="s">
        <v>765</v>
      </c>
      <c r="E43" s="201" t="s">
        <v>766</v>
      </c>
      <c r="F43" s="202" t="s">
        <v>735</v>
      </c>
      <c r="G43" s="203">
        <v>10</v>
      </c>
      <c r="H43" s="190"/>
      <c r="I43" s="190"/>
      <c r="J43" s="190"/>
    </row>
    <row r="44" spans="1:10" s="199" customFormat="1" ht="33.75">
      <c r="A44" s="192"/>
      <c r="B44" s="193"/>
      <c r="C44" s="205" t="s">
        <v>767</v>
      </c>
      <c r="D44" s="206" t="s">
        <v>1205</v>
      </c>
      <c r="E44" s="207" t="s">
        <v>768</v>
      </c>
      <c r="F44" s="208"/>
      <c r="G44" s="203"/>
      <c r="H44" s="190"/>
      <c r="I44" s="190"/>
      <c r="J44" s="190"/>
    </row>
    <row r="45" spans="1:10" s="199" customFormat="1" ht="33.75">
      <c r="A45" s="192"/>
      <c r="B45" s="193"/>
      <c r="C45" s="205" t="s">
        <v>769</v>
      </c>
      <c r="D45" s="206" t="s">
        <v>1205</v>
      </c>
      <c r="E45" s="207" t="s">
        <v>770</v>
      </c>
      <c r="F45" s="208"/>
      <c r="G45" s="203"/>
      <c r="H45" s="190"/>
      <c r="I45" s="190"/>
      <c r="J45" s="190"/>
    </row>
    <row r="46" spans="1:10" s="199" customFormat="1" ht="33.75">
      <c r="A46" s="192"/>
      <c r="B46" s="193"/>
      <c r="C46" s="205" t="s">
        <v>771</v>
      </c>
      <c r="D46" s="206" t="s">
        <v>1205</v>
      </c>
      <c r="E46" s="207" t="s">
        <v>772</v>
      </c>
      <c r="F46" s="208"/>
      <c r="G46" s="203"/>
      <c r="H46" s="190"/>
      <c r="I46" s="190"/>
      <c r="J46" s="190"/>
    </row>
    <row r="47" spans="1:10" s="199" customFormat="1" ht="33.75">
      <c r="A47" s="192"/>
      <c r="B47" s="193"/>
      <c r="C47" s="205" t="s">
        <v>773</v>
      </c>
      <c r="D47" s="206" t="s">
        <v>1205</v>
      </c>
      <c r="E47" s="207" t="s">
        <v>768</v>
      </c>
      <c r="F47" s="208"/>
      <c r="G47" s="203"/>
      <c r="H47" s="190"/>
      <c r="I47" s="190"/>
      <c r="J47" s="190"/>
    </row>
    <row r="48" spans="1:10" s="199" customFormat="1" ht="45">
      <c r="A48" s="192">
        <f>A43+1</f>
        <v>31</v>
      </c>
      <c r="B48" s="193"/>
      <c r="C48" s="204" t="s">
        <v>774</v>
      </c>
      <c r="D48" s="200" t="s">
        <v>775</v>
      </c>
      <c r="E48" s="201" t="s">
        <v>1206</v>
      </c>
      <c r="F48" s="202" t="s">
        <v>7</v>
      </c>
      <c r="G48" s="203">
        <v>12</v>
      </c>
      <c r="H48" s="190"/>
      <c r="I48" s="190"/>
      <c r="J48" s="190"/>
    </row>
    <row r="49" spans="1:10" s="199" customFormat="1" ht="45">
      <c r="A49" s="192">
        <f t="shared" si="0"/>
        <v>32</v>
      </c>
      <c r="B49" s="193"/>
      <c r="C49" s="204" t="s">
        <v>776</v>
      </c>
      <c r="D49" s="200"/>
      <c r="E49" s="201" t="s">
        <v>1206</v>
      </c>
      <c r="F49" s="202" t="s">
        <v>740</v>
      </c>
      <c r="G49" s="203">
        <v>3</v>
      </c>
      <c r="H49" s="190"/>
      <c r="I49" s="190"/>
      <c r="J49" s="190"/>
    </row>
    <row r="50" spans="1:10" s="199" customFormat="1" ht="45">
      <c r="A50" s="192">
        <f t="shared" si="0"/>
        <v>33</v>
      </c>
      <c r="B50" s="193"/>
      <c r="C50" s="204" t="s">
        <v>777</v>
      </c>
      <c r="D50" s="200"/>
      <c r="E50" s="201" t="s">
        <v>1207</v>
      </c>
      <c r="F50" s="202" t="s">
        <v>742</v>
      </c>
      <c r="G50" s="203">
        <v>9</v>
      </c>
      <c r="H50" s="190"/>
      <c r="I50" s="190"/>
      <c r="J50" s="190"/>
    </row>
    <row r="51" spans="1:10" s="199" customFormat="1">
      <c r="A51" s="192">
        <f t="shared" si="0"/>
        <v>34</v>
      </c>
      <c r="B51" s="193"/>
      <c r="C51" s="204" t="s">
        <v>778</v>
      </c>
      <c r="D51" s="200"/>
      <c r="E51" s="201"/>
      <c r="F51" s="202" t="s">
        <v>740</v>
      </c>
      <c r="G51" s="203">
        <v>1</v>
      </c>
      <c r="H51" s="190"/>
      <c r="I51" s="190"/>
      <c r="J51" s="190"/>
    </row>
    <row r="52" spans="1:10" s="199" customFormat="1">
      <c r="A52" s="192">
        <f t="shared" si="0"/>
        <v>35</v>
      </c>
      <c r="B52" s="193"/>
      <c r="C52" s="204" t="s">
        <v>779</v>
      </c>
      <c r="D52" s="200"/>
      <c r="E52" s="201"/>
      <c r="F52" s="202" t="s">
        <v>740</v>
      </c>
      <c r="G52" s="203">
        <v>1</v>
      </c>
      <c r="H52" s="190"/>
      <c r="I52" s="190"/>
      <c r="J52" s="190"/>
    </row>
    <row r="53" spans="1:10" s="199" customFormat="1">
      <c r="A53" s="192">
        <f t="shared" si="0"/>
        <v>36</v>
      </c>
      <c r="B53" s="193"/>
      <c r="C53" s="204" t="s">
        <v>780</v>
      </c>
      <c r="D53" s="200"/>
      <c r="E53" s="201"/>
      <c r="F53" s="202" t="s">
        <v>740</v>
      </c>
      <c r="G53" s="203">
        <v>1</v>
      </c>
      <c r="H53" s="190"/>
      <c r="I53" s="190"/>
      <c r="J53" s="190"/>
    </row>
    <row r="54" spans="1:10" s="199" customFormat="1" ht="25.5">
      <c r="A54" s="226">
        <f t="shared" si="0"/>
        <v>37</v>
      </c>
      <c r="B54" s="227"/>
      <c r="C54" s="228" t="s">
        <v>781</v>
      </c>
      <c r="D54" s="229"/>
      <c r="E54" s="230"/>
      <c r="F54" s="231" t="s">
        <v>735</v>
      </c>
      <c r="G54" s="232">
        <v>356</v>
      </c>
      <c r="H54" s="190"/>
      <c r="I54" s="190"/>
      <c r="J54" s="190"/>
    </row>
    <row r="55" spans="1:10" s="199" customFormat="1" ht="12.75" customHeight="1">
      <c r="A55" s="221"/>
      <c r="B55" s="221" t="s">
        <v>373</v>
      </c>
      <c r="C55" s="233" t="s">
        <v>782</v>
      </c>
      <c r="D55" s="234"/>
      <c r="E55" s="234"/>
      <c r="F55" s="235"/>
      <c r="G55" s="236"/>
      <c r="H55" s="190"/>
      <c r="I55" s="190"/>
      <c r="J55" s="190"/>
    </row>
    <row r="56" spans="1:10" s="199" customFormat="1" ht="45">
      <c r="A56" s="192">
        <f>A54+1</f>
        <v>38</v>
      </c>
      <c r="B56" s="193"/>
      <c r="C56" s="194" t="s">
        <v>783</v>
      </c>
      <c r="D56" s="195" t="s">
        <v>784</v>
      </c>
      <c r="E56" s="196" t="s">
        <v>1208</v>
      </c>
      <c r="F56" s="197" t="s">
        <v>742</v>
      </c>
      <c r="G56" s="198">
        <v>1</v>
      </c>
      <c r="H56" s="190"/>
      <c r="I56" s="190"/>
      <c r="J56" s="190"/>
    </row>
    <row r="57" spans="1:10" s="199" customFormat="1" ht="45">
      <c r="A57" s="192">
        <f t="shared" si="0"/>
        <v>39</v>
      </c>
      <c r="B57" s="193"/>
      <c r="C57" s="204" t="s">
        <v>785</v>
      </c>
      <c r="D57" s="200" t="s">
        <v>786</v>
      </c>
      <c r="E57" s="201" t="s">
        <v>1208</v>
      </c>
      <c r="F57" s="202" t="s">
        <v>742</v>
      </c>
      <c r="G57" s="203">
        <v>1</v>
      </c>
      <c r="H57" s="190"/>
      <c r="I57" s="190"/>
      <c r="J57" s="190"/>
    </row>
    <row r="58" spans="1:10" s="199" customFormat="1" ht="45">
      <c r="A58" s="192">
        <f t="shared" si="0"/>
        <v>40</v>
      </c>
      <c r="B58" s="193"/>
      <c r="C58" s="204" t="s">
        <v>787</v>
      </c>
      <c r="D58" s="200" t="s">
        <v>788</v>
      </c>
      <c r="E58" s="201" t="s">
        <v>1208</v>
      </c>
      <c r="F58" s="202" t="s">
        <v>742</v>
      </c>
      <c r="G58" s="203">
        <v>1</v>
      </c>
      <c r="H58" s="190"/>
      <c r="I58" s="190"/>
      <c r="J58" s="190"/>
    </row>
    <row r="59" spans="1:10" s="199" customFormat="1" ht="45">
      <c r="A59" s="192">
        <f t="shared" si="0"/>
        <v>41</v>
      </c>
      <c r="B59" s="193"/>
      <c r="C59" s="204" t="s">
        <v>789</v>
      </c>
      <c r="D59" s="200" t="s">
        <v>790</v>
      </c>
      <c r="E59" s="201" t="s">
        <v>1208</v>
      </c>
      <c r="F59" s="202" t="s">
        <v>742</v>
      </c>
      <c r="G59" s="203">
        <v>1</v>
      </c>
      <c r="H59" s="190"/>
      <c r="I59" s="190"/>
      <c r="J59" s="190"/>
    </row>
    <row r="60" spans="1:10" s="199" customFormat="1" ht="45">
      <c r="A60" s="192">
        <f t="shared" si="0"/>
        <v>42</v>
      </c>
      <c r="B60" s="193"/>
      <c r="C60" s="204" t="s">
        <v>791</v>
      </c>
      <c r="D60" s="200">
        <v>7736700103</v>
      </c>
      <c r="E60" s="201" t="s">
        <v>1205</v>
      </c>
      <c r="F60" s="202" t="s">
        <v>742</v>
      </c>
      <c r="G60" s="203">
        <v>1</v>
      </c>
      <c r="H60" s="190"/>
      <c r="I60" s="190"/>
      <c r="J60" s="190"/>
    </row>
    <row r="61" spans="1:10" s="199" customFormat="1" ht="45">
      <c r="A61" s="192">
        <f t="shared" si="0"/>
        <v>43</v>
      </c>
      <c r="B61" s="193"/>
      <c r="C61" s="204" t="s">
        <v>792</v>
      </c>
      <c r="D61" s="200" t="s">
        <v>793</v>
      </c>
      <c r="E61" s="201" t="s">
        <v>1205</v>
      </c>
      <c r="F61" s="202" t="s">
        <v>742</v>
      </c>
      <c r="G61" s="203">
        <v>3</v>
      </c>
      <c r="H61" s="190"/>
      <c r="I61" s="190"/>
      <c r="J61" s="190"/>
    </row>
    <row r="62" spans="1:10" s="199" customFormat="1" ht="45">
      <c r="A62" s="192">
        <f t="shared" si="0"/>
        <v>44</v>
      </c>
      <c r="B62" s="193"/>
      <c r="C62" s="204" t="s">
        <v>794</v>
      </c>
      <c r="D62" s="200" t="s">
        <v>795</v>
      </c>
      <c r="E62" s="201" t="s">
        <v>1205</v>
      </c>
      <c r="F62" s="202" t="s">
        <v>742</v>
      </c>
      <c r="G62" s="203">
        <v>1</v>
      </c>
      <c r="H62" s="190"/>
      <c r="I62" s="190"/>
      <c r="J62" s="190"/>
    </row>
    <row r="63" spans="1:10" s="199" customFormat="1" ht="45">
      <c r="A63" s="192">
        <f t="shared" si="0"/>
        <v>45</v>
      </c>
      <c r="B63" s="193"/>
      <c r="C63" s="204" t="s">
        <v>796</v>
      </c>
      <c r="D63" s="200" t="s">
        <v>797</v>
      </c>
      <c r="E63" s="201" t="s">
        <v>1205</v>
      </c>
      <c r="F63" s="202" t="s">
        <v>742</v>
      </c>
      <c r="G63" s="203">
        <v>1</v>
      </c>
      <c r="H63" s="190"/>
      <c r="I63" s="190"/>
      <c r="J63" s="190"/>
    </row>
    <row r="64" spans="1:10" s="199" customFormat="1" ht="45">
      <c r="A64" s="192">
        <f t="shared" si="0"/>
        <v>46</v>
      </c>
      <c r="B64" s="193"/>
      <c r="C64" s="204" t="s">
        <v>798</v>
      </c>
      <c r="D64" s="200" t="s">
        <v>799</v>
      </c>
      <c r="E64" s="201" t="s">
        <v>1205</v>
      </c>
      <c r="F64" s="202" t="s">
        <v>740</v>
      </c>
      <c r="G64" s="203">
        <v>1</v>
      </c>
      <c r="H64" s="190"/>
      <c r="I64" s="190"/>
      <c r="J64" s="190"/>
    </row>
    <row r="65" spans="1:10" s="199" customFormat="1">
      <c r="A65" s="192">
        <f t="shared" si="0"/>
        <v>47</v>
      </c>
      <c r="B65" s="193"/>
      <c r="C65" s="204" t="s">
        <v>800</v>
      </c>
      <c r="D65" s="200" t="s">
        <v>801</v>
      </c>
      <c r="E65" s="201"/>
      <c r="F65" s="202" t="s">
        <v>742</v>
      </c>
      <c r="G65" s="203">
        <v>1</v>
      </c>
      <c r="H65" s="190"/>
      <c r="I65" s="190"/>
      <c r="J65" s="190"/>
    </row>
    <row r="66" spans="1:10" s="199" customFormat="1" ht="45">
      <c r="A66" s="192">
        <f t="shared" si="0"/>
        <v>48</v>
      </c>
      <c r="B66" s="193"/>
      <c r="C66" s="204" t="s">
        <v>802</v>
      </c>
      <c r="D66" s="200" t="s">
        <v>803</v>
      </c>
      <c r="E66" s="201" t="s">
        <v>1205</v>
      </c>
      <c r="F66" s="202" t="s">
        <v>742</v>
      </c>
      <c r="G66" s="203">
        <v>1</v>
      </c>
      <c r="H66" s="190"/>
      <c r="I66" s="190"/>
      <c r="J66" s="190"/>
    </row>
    <row r="67" spans="1:10" s="199" customFormat="1">
      <c r="A67" s="192">
        <f t="shared" si="0"/>
        <v>49</v>
      </c>
      <c r="B67" s="193"/>
      <c r="C67" s="204" t="s">
        <v>761</v>
      </c>
      <c r="D67" s="200" t="s">
        <v>804</v>
      </c>
      <c r="E67" s="201"/>
      <c r="F67" s="202" t="s">
        <v>742</v>
      </c>
      <c r="G67" s="203">
        <v>2</v>
      </c>
      <c r="H67" s="190"/>
      <c r="I67" s="190"/>
      <c r="J67" s="190"/>
    </row>
    <row r="68" spans="1:10" s="199" customFormat="1">
      <c r="A68" s="192">
        <f t="shared" si="0"/>
        <v>50</v>
      </c>
      <c r="B68" s="193"/>
      <c r="C68" s="204" t="s">
        <v>761</v>
      </c>
      <c r="D68" s="200" t="s">
        <v>805</v>
      </c>
      <c r="E68" s="201"/>
      <c r="F68" s="202" t="s">
        <v>742</v>
      </c>
      <c r="G68" s="203">
        <v>5</v>
      </c>
      <c r="H68" s="190"/>
      <c r="I68" s="190"/>
      <c r="J68" s="190"/>
    </row>
    <row r="69" spans="1:10" s="199" customFormat="1">
      <c r="A69" s="192">
        <f t="shared" si="0"/>
        <v>51</v>
      </c>
      <c r="B69" s="193"/>
      <c r="C69" s="204" t="s">
        <v>761</v>
      </c>
      <c r="D69" s="200" t="s">
        <v>764</v>
      </c>
      <c r="E69" s="201"/>
      <c r="F69" s="202" t="s">
        <v>742</v>
      </c>
      <c r="G69" s="203">
        <v>5</v>
      </c>
      <c r="H69" s="190"/>
      <c r="I69" s="190"/>
      <c r="J69" s="190"/>
    </row>
    <row r="70" spans="1:10" s="199" customFormat="1">
      <c r="A70" s="192">
        <f t="shared" si="0"/>
        <v>52</v>
      </c>
      <c r="B70" s="193"/>
      <c r="C70" s="204" t="s">
        <v>761</v>
      </c>
      <c r="D70" s="200" t="s">
        <v>806</v>
      </c>
      <c r="E70" s="201"/>
      <c r="F70" s="202" t="s">
        <v>742</v>
      </c>
      <c r="G70" s="203">
        <v>8</v>
      </c>
      <c r="H70" s="190"/>
      <c r="I70" s="190"/>
      <c r="J70" s="190"/>
    </row>
    <row r="71" spans="1:10" s="199" customFormat="1">
      <c r="A71" s="192">
        <f t="shared" si="0"/>
        <v>53</v>
      </c>
      <c r="B71" s="193"/>
      <c r="C71" s="204" t="s">
        <v>761</v>
      </c>
      <c r="D71" s="200" t="s">
        <v>763</v>
      </c>
      <c r="E71" s="201"/>
      <c r="F71" s="202" t="s">
        <v>742</v>
      </c>
      <c r="G71" s="203">
        <v>10</v>
      </c>
      <c r="H71" s="190"/>
      <c r="I71" s="190"/>
      <c r="J71" s="190"/>
    </row>
    <row r="72" spans="1:10" s="199" customFormat="1">
      <c r="A72" s="192">
        <f t="shared" si="0"/>
        <v>54</v>
      </c>
      <c r="B72" s="193"/>
      <c r="C72" s="204" t="s">
        <v>807</v>
      </c>
      <c r="D72" s="200" t="s">
        <v>806</v>
      </c>
      <c r="E72" s="201"/>
      <c r="F72" s="202" t="s">
        <v>742</v>
      </c>
      <c r="G72" s="203">
        <v>3</v>
      </c>
      <c r="H72" s="190"/>
      <c r="I72" s="190"/>
      <c r="J72" s="190"/>
    </row>
    <row r="73" spans="1:10" s="199" customFormat="1">
      <c r="A73" s="192">
        <f t="shared" si="0"/>
        <v>55</v>
      </c>
      <c r="B73" s="193"/>
      <c r="C73" s="204" t="s">
        <v>807</v>
      </c>
      <c r="D73" s="200" t="s">
        <v>764</v>
      </c>
      <c r="E73" s="201"/>
      <c r="F73" s="202" t="s">
        <v>742</v>
      </c>
      <c r="G73" s="203">
        <v>1</v>
      </c>
      <c r="H73" s="190"/>
      <c r="I73" s="190"/>
      <c r="J73" s="190"/>
    </row>
    <row r="74" spans="1:10" s="199" customFormat="1">
      <c r="A74" s="192">
        <f t="shared" si="0"/>
        <v>56</v>
      </c>
      <c r="B74" s="193"/>
      <c r="C74" s="204" t="s">
        <v>807</v>
      </c>
      <c r="D74" s="200" t="s">
        <v>804</v>
      </c>
      <c r="E74" s="201"/>
      <c r="F74" s="202" t="s">
        <v>742</v>
      </c>
      <c r="G74" s="203">
        <v>1</v>
      </c>
      <c r="H74" s="190"/>
      <c r="I74" s="190"/>
      <c r="J74" s="190"/>
    </row>
    <row r="75" spans="1:10" s="199" customFormat="1">
      <c r="A75" s="192">
        <f t="shared" si="0"/>
        <v>57</v>
      </c>
      <c r="B75" s="193"/>
      <c r="C75" s="204" t="s">
        <v>757</v>
      </c>
      <c r="D75" s="200" t="s">
        <v>808</v>
      </c>
      <c r="E75" s="201"/>
      <c r="F75" s="202" t="s">
        <v>742</v>
      </c>
      <c r="G75" s="203">
        <v>1</v>
      </c>
      <c r="H75" s="190"/>
      <c r="I75" s="190"/>
      <c r="J75" s="190"/>
    </row>
    <row r="76" spans="1:10" s="199" customFormat="1">
      <c r="A76" s="192">
        <f t="shared" si="0"/>
        <v>58</v>
      </c>
      <c r="B76" s="193"/>
      <c r="C76" s="204" t="s">
        <v>757</v>
      </c>
      <c r="D76" s="200" t="s">
        <v>760</v>
      </c>
      <c r="E76" s="201"/>
      <c r="F76" s="202" t="s">
        <v>742</v>
      </c>
      <c r="G76" s="203">
        <v>1</v>
      </c>
      <c r="H76" s="190"/>
      <c r="I76" s="190"/>
      <c r="J76" s="190"/>
    </row>
    <row r="77" spans="1:10" s="199" customFormat="1">
      <c r="A77" s="192">
        <f t="shared" si="0"/>
        <v>59</v>
      </c>
      <c r="B77" s="193"/>
      <c r="C77" s="204" t="s">
        <v>757</v>
      </c>
      <c r="D77" s="200" t="s">
        <v>809</v>
      </c>
      <c r="E77" s="201"/>
      <c r="F77" s="202" t="s">
        <v>742</v>
      </c>
      <c r="G77" s="203">
        <v>1</v>
      </c>
      <c r="H77" s="190"/>
      <c r="I77" s="190"/>
      <c r="J77" s="190"/>
    </row>
    <row r="78" spans="1:10" s="199" customFormat="1">
      <c r="A78" s="192">
        <f t="shared" si="0"/>
        <v>60</v>
      </c>
      <c r="B78" s="193"/>
      <c r="C78" s="204" t="s">
        <v>810</v>
      </c>
      <c r="D78" s="200" t="s">
        <v>806</v>
      </c>
      <c r="E78" s="201"/>
      <c r="F78" s="202" t="s">
        <v>742</v>
      </c>
      <c r="G78" s="203">
        <v>1</v>
      </c>
      <c r="H78" s="190"/>
      <c r="I78" s="190"/>
      <c r="J78" s="190"/>
    </row>
    <row r="79" spans="1:10" s="199" customFormat="1">
      <c r="A79" s="192">
        <f t="shared" si="0"/>
        <v>61</v>
      </c>
      <c r="B79" s="193"/>
      <c r="C79" s="204" t="s">
        <v>810</v>
      </c>
      <c r="D79" s="200" t="s">
        <v>764</v>
      </c>
      <c r="E79" s="201"/>
      <c r="F79" s="202" t="s">
        <v>742</v>
      </c>
      <c r="G79" s="203">
        <v>1</v>
      </c>
      <c r="H79" s="190"/>
      <c r="I79" s="190"/>
      <c r="J79" s="190"/>
    </row>
    <row r="80" spans="1:10" s="199" customFormat="1">
      <c r="A80" s="192">
        <f t="shared" ref="A80:A123" si="1">A79+1</f>
        <v>62</v>
      </c>
      <c r="B80" s="193"/>
      <c r="C80" s="204" t="s">
        <v>810</v>
      </c>
      <c r="D80" s="200" t="s">
        <v>805</v>
      </c>
      <c r="E80" s="201"/>
      <c r="F80" s="202" t="s">
        <v>742</v>
      </c>
      <c r="G80" s="203">
        <v>1</v>
      </c>
      <c r="H80" s="190"/>
      <c r="I80" s="190"/>
      <c r="J80" s="190"/>
    </row>
    <row r="81" spans="1:10" s="199" customFormat="1">
      <c r="A81" s="192">
        <f t="shared" si="1"/>
        <v>63</v>
      </c>
      <c r="B81" s="193"/>
      <c r="C81" s="204" t="s">
        <v>811</v>
      </c>
      <c r="D81" s="200" t="s">
        <v>763</v>
      </c>
      <c r="E81" s="201"/>
      <c r="F81" s="202" t="s">
        <v>742</v>
      </c>
      <c r="G81" s="203">
        <v>3</v>
      </c>
      <c r="H81" s="190"/>
      <c r="I81" s="190"/>
      <c r="J81" s="190"/>
    </row>
    <row r="82" spans="1:10" s="199" customFormat="1">
      <c r="A82" s="192">
        <f t="shared" si="1"/>
        <v>64</v>
      </c>
      <c r="B82" s="193"/>
      <c r="C82" s="204" t="s">
        <v>812</v>
      </c>
      <c r="D82" s="200"/>
      <c r="E82" s="201"/>
      <c r="F82" s="202" t="s">
        <v>742</v>
      </c>
      <c r="G82" s="203">
        <v>4</v>
      </c>
      <c r="H82" s="190"/>
      <c r="I82" s="190"/>
      <c r="J82" s="190"/>
    </row>
    <row r="83" spans="1:10" s="199" customFormat="1">
      <c r="A83" s="192">
        <f t="shared" si="1"/>
        <v>65</v>
      </c>
      <c r="B83" s="193"/>
      <c r="C83" s="204" t="s">
        <v>813</v>
      </c>
      <c r="D83" s="200"/>
      <c r="E83" s="201"/>
      <c r="F83" s="202" t="s">
        <v>742</v>
      </c>
      <c r="G83" s="203">
        <v>6</v>
      </c>
      <c r="H83" s="190"/>
      <c r="I83" s="190"/>
      <c r="J83" s="190"/>
    </row>
    <row r="84" spans="1:10" s="199" customFormat="1" ht="25.5">
      <c r="A84" s="192">
        <f t="shared" si="1"/>
        <v>66</v>
      </c>
      <c r="B84" s="193"/>
      <c r="C84" s="204" t="s">
        <v>814</v>
      </c>
      <c r="D84" s="200" t="s">
        <v>806</v>
      </c>
      <c r="E84" s="201"/>
      <c r="F84" s="202" t="s">
        <v>742</v>
      </c>
      <c r="G84" s="203">
        <v>1</v>
      </c>
      <c r="H84" s="190"/>
      <c r="I84" s="190"/>
      <c r="J84" s="190"/>
    </row>
    <row r="85" spans="1:10" s="199" customFormat="1" ht="45">
      <c r="A85" s="192">
        <f t="shared" si="1"/>
        <v>67</v>
      </c>
      <c r="B85" s="193"/>
      <c r="C85" s="204" t="s">
        <v>815</v>
      </c>
      <c r="D85" s="200" t="s">
        <v>816</v>
      </c>
      <c r="E85" s="201" t="s">
        <v>1209</v>
      </c>
      <c r="F85" s="202" t="s">
        <v>742</v>
      </c>
      <c r="G85" s="203">
        <v>1</v>
      </c>
      <c r="H85" s="190"/>
      <c r="I85" s="190"/>
      <c r="J85" s="190"/>
    </row>
    <row r="86" spans="1:10" s="199" customFormat="1" ht="45">
      <c r="A86" s="192">
        <f t="shared" si="1"/>
        <v>68</v>
      </c>
      <c r="B86" s="193"/>
      <c r="C86" s="204" t="s">
        <v>815</v>
      </c>
      <c r="D86" s="200" t="s">
        <v>817</v>
      </c>
      <c r="E86" s="201" t="s">
        <v>1209</v>
      </c>
      <c r="F86" s="202" t="s">
        <v>742</v>
      </c>
      <c r="G86" s="203">
        <v>1</v>
      </c>
      <c r="H86" s="190"/>
      <c r="I86" s="190"/>
      <c r="J86" s="190"/>
    </row>
    <row r="87" spans="1:10" s="199" customFormat="1" ht="45">
      <c r="A87" s="192">
        <f t="shared" si="1"/>
        <v>69</v>
      </c>
      <c r="B87" s="193"/>
      <c r="C87" s="204" t="s">
        <v>818</v>
      </c>
      <c r="D87" s="200" t="s">
        <v>819</v>
      </c>
      <c r="E87" s="201" t="s">
        <v>1209</v>
      </c>
      <c r="F87" s="202" t="s">
        <v>742</v>
      </c>
      <c r="G87" s="203">
        <v>1</v>
      </c>
      <c r="H87" s="190"/>
      <c r="I87" s="190"/>
      <c r="J87" s="190"/>
    </row>
    <row r="88" spans="1:10" s="199" customFormat="1" ht="56.25">
      <c r="A88" s="192">
        <f t="shared" si="1"/>
        <v>70</v>
      </c>
      <c r="B88" s="193"/>
      <c r="C88" s="204" t="s">
        <v>820</v>
      </c>
      <c r="D88" s="200" t="s">
        <v>821</v>
      </c>
      <c r="E88" s="201" t="s">
        <v>1204</v>
      </c>
      <c r="F88" s="202" t="s">
        <v>742</v>
      </c>
      <c r="G88" s="203">
        <v>1</v>
      </c>
      <c r="H88" s="190"/>
      <c r="I88" s="190"/>
      <c r="J88" s="190"/>
    </row>
    <row r="89" spans="1:10" s="199" customFormat="1" ht="56.25">
      <c r="A89" s="192">
        <f t="shared" si="1"/>
        <v>71</v>
      </c>
      <c r="B89" s="193"/>
      <c r="C89" s="204" t="s">
        <v>820</v>
      </c>
      <c r="D89" s="200" t="s">
        <v>822</v>
      </c>
      <c r="E89" s="201" t="s">
        <v>1204</v>
      </c>
      <c r="F89" s="202" t="s">
        <v>742</v>
      </c>
      <c r="G89" s="203">
        <v>1</v>
      </c>
      <c r="H89" s="190"/>
      <c r="I89" s="190"/>
      <c r="J89" s="190"/>
    </row>
    <row r="90" spans="1:10" s="199" customFormat="1">
      <c r="A90" s="192">
        <f t="shared" si="1"/>
        <v>72</v>
      </c>
      <c r="B90" s="193"/>
      <c r="C90" s="204" t="s">
        <v>823</v>
      </c>
      <c r="D90" s="200" t="s">
        <v>763</v>
      </c>
      <c r="E90" s="201"/>
      <c r="F90" s="202" t="s">
        <v>742</v>
      </c>
      <c r="G90" s="203">
        <v>2</v>
      </c>
      <c r="H90" s="190"/>
      <c r="I90" s="190"/>
      <c r="J90" s="190"/>
    </row>
    <row r="91" spans="1:10" s="199" customFormat="1">
      <c r="A91" s="192">
        <f t="shared" si="1"/>
        <v>73</v>
      </c>
      <c r="B91" s="193"/>
      <c r="C91" s="204" t="s">
        <v>824</v>
      </c>
      <c r="D91" s="200" t="s">
        <v>806</v>
      </c>
      <c r="E91" s="201"/>
      <c r="F91" s="202" t="s">
        <v>735</v>
      </c>
      <c r="G91" s="203">
        <v>16</v>
      </c>
      <c r="H91" s="190"/>
      <c r="I91" s="190"/>
      <c r="J91" s="190"/>
    </row>
    <row r="92" spans="1:10" s="199" customFormat="1">
      <c r="A92" s="192">
        <f t="shared" si="1"/>
        <v>74</v>
      </c>
      <c r="B92" s="193"/>
      <c r="C92" s="204" t="s">
        <v>824</v>
      </c>
      <c r="D92" s="200" t="s">
        <v>764</v>
      </c>
      <c r="E92" s="201"/>
      <c r="F92" s="202" t="s">
        <v>735</v>
      </c>
      <c r="G92" s="203">
        <v>6</v>
      </c>
      <c r="H92" s="190"/>
      <c r="I92" s="190"/>
      <c r="J92" s="190"/>
    </row>
    <row r="93" spans="1:10" s="199" customFormat="1">
      <c r="A93" s="192">
        <f t="shared" si="1"/>
        <v>75</v>
      </c>
      <c r="B93" s="193"/>
      <c r="C93" s="204" t="s">
        <v>824</v>
      </c>
      <c r="D93" s="200" t="s">
        <v>805</v>
      </c>
      <c r="E93" s="201"/>
      <c r="F93" s="202" t="s">
        <v>735</v>
      </c>
      <c r="G93" s="203">
        <v>6</v>
      </c>
      <c r="H93" s="190"/>
      <c r="I93" s="190"/>
      <c r="J93" s="190"/>
    </row>
    <row r="94" spans="1:10" s="199" customFormat="1">
      <c r="A94" s="192">
        <f t="shared" si="1"/>
        <v>76</v>
      </c>
      <c r="B94" s="193"/>
      <c r="C94" s="204" t="s">
        <v>824</v>
      </c>
      <c r="D94" s="200" t="s">
        <v>804</v>
      </c>
      <c r="E94" s="201"/>
      <c r="F94" s="202" t="s">
        <v>735</v>
      </c>
      <c r="G94" s="203">
        <v>10</v>
      </c>
      <c r="H94" s="190"/>
      <c r="I94" s="190"/>
      <c r="J94" s="190"/>
    </row>
    <row r="95" spans="1:10" s="199" customFormat="1">
      <c r="A95" s="192">
        <f t="shared" si="1"/>
        <v>77</v>
      </c>
      <c r="B95" s="193"/>
      <c r="C95" s="204" t="s">
        <v>739</v>
      </c>
      <c r="D95" s="200"/>
      <c r="E95" s="201"/>
      <c r="F95" s="202" t="s">
        <v>740</v>
      </c>
      <c r="G95" s="203">
        <v>1</v>
      </c>
      <c r="H95" s="190"/>
      <c r="I95" s="190"/>
      <c r="J95" s="190"/>
    </row>
    <row r="96" spans="1:10" s="199" customFormat="1" ht="25.5">
      <c r="A96" s="192">
        <f t="shared" si="1"/>
        <v>78</v>
      </c>
      <c r="B96" s="193"/>
      <c r="C96" s="204" t="s">
        <v>825</v>
      </c>
      <c r="D96" s="200">
        <v>20</v>
      </c>
      <c r="E96" s="201"/>
      <c r="F96" s="202" t="s">
        <v>735</v>
      </c>
      <c r="G96" s="203">
        <v>16</v>
      </c>
      <c r="H96" s="190"/>
      <c r="I96" s="190"/>
      <c r="J96" s="190"/>
    </row>
    <row r="97" spans="1:10" s="199" customFormat="1" ht="25.5">
      <c r="A97" s="192">
        <f t="shared" si="1"/>
        <v>79</v>
      </c>
      <c r="B97" s="193"/>
      <c r="C97" s="204" t="s">
        <v>825</v>
      </c>
      <c r="D97" s="200">
        <v>25</v>
      </c>
      <c r="E97" s="201"/>
      <c r="F97" s="202" t="s">
        <v>735</v>
      </c>
      <c r="G97" s="203">
        <v>6</v>
      </c>
      <c r="H97" s="190"/>
      <c r="I97" s="190"/>
      <c r="J97" s="190"/>
    </row>
    <row r="98" spans="1:10" s="199" customFormat="1" ht="25.5">
      <c r="A98" s="192">
        <f t="shared" si="1"/>
        <v>80</v>
      </c>
      <c r="B98" s="193"/>
      <c r="C98" s="204" t="s">
        <v>825</v>
      </c>
      <c r="D98" s="200">
        <v>32</v>
      </c>
      <c r="E98" s="201"/>
      <c r="F98" s="202" t="s">
        <v>735</v>
      </c>
      <c r="G98" s="203">
        <v>6</v>
      </c>
      <c r="H98" s="190"/>
      <c r="I98" s="190"/>
      <c r="J98" s="190"/>
    </row>
    <row r="99" spans="1:10" s="199" customFormat="1" ht="25.5">
      <c r="A99" s="192">
        <f t="shared" si="1"/>
        <v>81</v>
      </c>
      <c r="B99" s="193"/>
      <c r="C99" s="204" t="s">
        <v>825</v>
      </c>
      <c r="D99" s="200">
        <v>40</v>
      </c>
      <c r="E99" s="201"/>
      <c r="F99" s="202" t="s">
        <v>735</v>
      </c>
      <c r="G99" s="203">
        <v>10</v>
      </c>
      <c r="H99" s="190"/>
      <c r="I99" s="190"/>
      <c r="J99" s="190"/>
    </row>
    <row r="100" spans="1:10" s="199" customFormat="1">
      <c r="A100" s="192">
        <f t="shared" si="1"/>
        <v>82</v>
      </c>
      <c r="B100" s="193"/>
      <c r="C100" s="204" t="s">
        <v>826</v>
      </c>
      <c r="D100" s="200"/>
      <c r="E100" s="201"/>
      <c r="F100" s="202" t="s">
        <v>740</v>
      </c>
      <c r="G100" s="203">
        <v>1</v>
      </c>
      <c r="H100" s="190"/>
      <c r="I100" s="190"/>
      <c r="J100" s="190"/>
    </row>
    <row r="101" spans="1:10" s="199" customFormat="1">
      <c r="A101" s="192">
        <f t="shared" si="1"/>
        <v>83</v>
      </c>
      <c r="B101" s="193"/>
      <c r="C101" s="204" t="s">
        <v>778</v>
      </c>
      <c r="D101" s="200"/>
      <c r="E101" s="201"/>
      <c r="F101" s="202" t="s">
        <v>740</v>
      </c>
      <c r="G101" s="203">
        <v>1</v>
      </c>
      <c r="H101" s="190"/>
      <c r="I101" s="190"/>
      <c r="J101" s="190"/>
    </row>
    <row r="102" spans="1:10" s="199" customFormat="1" ht="25.5">
      <c r="A102" s="192">
        <f t="shared" si="1"/>
        <v>84</v>
      </c>
      <c r="B102" s="193"/>
      <c r="C102" s="204" t="s">
        <v>781</v>
      </c>
      <c r="D102" s="200"/>
      <c r="E102" s="201"/>
      <c r="F102" s="202" t="s">
        <v>742</v>
      </c>
      <c r="G102" s="203">
        <v>1</v>
      </c>
      <c r="H102" s="190"/>
      <c r="I102" s="190"/>
      <c r="J102" s="190"/>
    </row>
    <row r="103" spans="1:10" s="199" customFormat="1">
      <c r="A103" s="192">
        <f t="shared" si="1"/>
        <v>85</v>
      </c>
      <c r="B103" s="193"/>
      <c r="C103" s="204" t="s">
        <v>779</v>
      </c>
      <c r="D103" s="200"/>
      <c r="E103" s="201"/>
      <c r="F103" s="202" t="s">
        <v>740</v>
      </c>
      <c r="G103" s="203">
        <v>1</v>
      </c>
      <c r="H103" s="190"/>
      <c r="I103" s="190"/>
      <c r="J103" s="190"/>
    </row>
    <row r="104" spans="1:10" s="199" customFormat="1">
      <c r="A104" s="226">
        <f t="shared" si="1"/>
        <v>86</v>
      </c>
      <c r="B104" s="227"/>
      <c r="C104" s="228" t="s">
        <v>780</v>
      </c>
      <c r="D104" s="229"/>
      <c r="E104" s="230"/>
      <c r="F104" s="231" t="s">
        <v>740</v>
      </c>
      <c r="G104" s="232">
        <v>1</v>
      </c>
      <c r="H104" s="190"/>
      <c r="I104" s="190"/>
      <c r="J104" s="190"/>
    </row>
    <row r="105" spans="1:10" s="199" customFormat="1" ht="12.75" customHeight="1">
      <c r="A105" s="221"/>
      <c r="B105" s="221" t="s">
        <v>373</v>
      </c>
      <c r="C105" s="233" t="s">
        <v>827</v>
      </c>
      <c r="D105" s="234"/>
      <c r="E105" s="234"/>
      <c r="F105" s="235"/>
      <c r="G105" s="236"/>
      <c r="H105" s="190"/>
      <c r="I105" s="190"/>
      <c r="J105" s="190"/>
    </row>
    <row r="106" spans="1:10" s="199" customFormat="1" ht="25.5">
      <c r="A106" s="192">
        <f>A104+1</f>
        <v>87</v>
      </c>
      <c r="B106" s="193"/>
      <c r="C106" s="194" t="s">
        <v>828</v>
      </c>
      <c r="D106" s="195" t="s">
        <v>829</v>
      </c>
      <c r="E106" s="196" t="s">
        <v>1241</v>
      </c>
      <c r="F106" s="197" t="s">
        <v>742</v>
      </c>
      <c r="G106" s="198">
        <v>2</v>
      </c>
      <c r="H106" s="190"/>
      <c r="I106" s="190"/>
      <c r="J106" s="190"/>
    </row>
    <row r="107" spans="1:10" s="199" customFormat="1">
      <c r="A107" s="192">
        <f t="shared" si="1"/>
        <v>88</v>
      </c>
      <c r="B107" s="193"/>
      <c r="C107" s="204" t="s">
        <v>761</v>
      </c>
      <c r="D107" s="200" t="s">
        <v>763</v>
      </c>
      <c r="E107" s="201"/>
      <c r="F107" s="202" t="s">
        <v>742</v>
      </c>
      <c r="G107" s="203">
        <v>10</v>
      </c>
      <c r="H107" s="190"/>
      <c r="I107" s="190"/>
      <c r="J107" s="190"/>
    </row>
    <row r="108" spans="1:10" s="199" customFormat="1">
      <c r="A108" s="192">
        <f t="shared" si="1"/>
        <v>89</v>
      </c>
      <c r="B108" s="193"/>
      <c r="C108" s="204" t="s">
        <v>807</v>
      </c>
      <c r="D108" s="200" t="s">
        <v>763</v>
      </c>
      <c r="E108" s="201"/>
      <c r="F108" s="202" t="s">
        <v>742</v>
      </c>
      <c r="G108" s="203">
        <v>2</v>
      </c>
      <c r="H108" s="190"/>
      <c r="I108" s="190"/>
      <c r="J108" s="190"/>
    </row>
    <row r="109" spans="1:10" s="199" customFormat="1" ht="56.25">
      <c r="A109" s="192">
        <f t="shared" si="1"/>
        <v>90</v>
      </c>
      <c r="B109" s="193"/>
      <c r="C109" s="204" t="s">
        <v>757</v>
      </c>
      <c r="D109" s="200" t="s">
        <v>759</v>
      </c>
      <c r="E109" s="201" t="s">
        <v>1204</v>
      </c>
      <c r="F109" s="202" t="s">
        <v>742</v>
      </c>
      <c r="G109" s="203">
        <v>6</v>
      </c>
      <c r="H109" s="190"/>
      <c r="I109" s="190"/>
      <c r="J109" s="190"/>
    </row>
    <row r="110" spans="1:10" s="199" customFormat="1">
      <c r="A110" s="192">
        <f t="shared" si="1"/>
        <v>91</v>
      </c>
      <c r="B110" s="193"/>
      <c r="C110" s="204" t="s">
        <v>811</v>
      </c>
      <c r="D110" s="200" t="s">
        <v>763</v>
      </c>
      <c r="E110" s="201"/>
      <c r="F110" s="202" t="s">
        <v>742</v>
      </c>
      <c r="G110" s="203">
        <v>2</v>
      </c>
      <c r="H110" s="190"/>
      <c r="I110" s="190"/>
      <c r="J110" s="190"/>
    </row>
    <row r="111" spans="1:10" s="199" customFormat="1">
      <c r="A111" s="192">
        <f t="shared" si="1"/>
        <v>92</v>
      </c>
      <c r="B111" s="193"/>
      <c r="C111" s="204" t="s">
        <v>813</v>
      </c>
      <c r="D111" s="200" t="s">
        <v>763</v>
      </c>
      <c r="E111" s="201"/>
      <c r="F111" s="202" t="s">
        <v>742</v>
      </c>
      <c r="G111" s="203">
        <v>4</v>
      </c>
      <c r="H111" s="190"/>
      <c r="I111" s="190"/>
      <c r="J111" s="190"/>
    </row>
    <row r="112" spans="1:10" s="199" customFormat="1">
      <c r="A112" s="192">
        <f t="shared" si="1"/>
        <v>93</v>
      </c>
      <c r="B112" s="193"/>
      <c r="C112" s="204" t="s">
        <v>823</v>
      </c>
      <c r="D112" s="200" t="s">
        <v>763</v>
      </c>
      <c r="E112" s="201"/>
      <c r="F112" s="202" t="s">
        <v>742</v>
      </c>
      <c r="G112" s="203">
        <v>4</v>
      </c>
      <c r="H112" s="190"/>
      <c r="I112" s="190"/>
      <c r="J112" s="190"/>
    </row>
    <row r="113" spans="1:10" s="199" customFormat="1" ht="25.5">
      <c r="A113" s="192">
        <f t="shared" si="1"/>
        <v>94</v>
      </c>
      <c r="B113" s="193"/>
      <c r="C113" s="204" t="s">
        <v>830</v>
      </c>
      <c r="D113" s="200"/>
      <c r="E113" s="201"/>
      <c r="F113" s="202" t="s">
        <v>742</v>
      </c>
      <c r="G113" s="203">
        <v>2</v>
      </c>
      <c r="H113" s="190"/>
      <c r="I113" s="190"/>
      <c r="J113" s="190"/>
    </row>
    <row r="114" spans="1:10" s="199" customFormat="1" ht="56.25">
      <c r="A114" s="192">
        <f t="shared" si="1"/>
        <v>95</v>
      </c>
      <c r="B114" s="193"/>
      <c r="C114" s="204" t="s">
        <v>820</v>
      </c>
      <c r="D114" s="200" t="s">
        <v>822</v>
      </c>
      <c r="E114" s="201" t="s">
        <v>1204</v>
      </c>
      <c r="F114" s="202" t="s">
        <v>742</v>
      </c>
      <c r="G114" s="203">
        <v>1</v>
      </c>
      <c r="H114" s="190"/>
      <c r="I114" s="190"/>
      <c r="J114" s="190"/>
    </row>
    <row r="115" spans="1:10" s="199" customFormat="1" ht="56.25">
      <c r="A115" s="192">
        <f t="shared" si="1"/>
        <v>96</v>
      </c>
      <c r="B115" s="193"/>
      <c r="C115" s="204" t="s">
        <v>820</v>
      </c>
      <c r="D115" s="200" t="s">
        <v>831</v>
      </c>
      <c r="E115" s="201" t="s">
        <v>1204</v>
      </c>
      <c r="F115" s="202" t="s">
        <v>742</v>
      </c>
      <c r="G115" s="203">
        <v>1</v>
      </c>
      <c r="H115" s="190"/>
      <c r="I115" s="190"/>
      <c r="J115" s="190"/>
    </row>
    <row r="116" spans="1:10" s="199" customFormat="1">
      <c r="A116" s="192">
        <f t="shared" si="1"/>
        <v>97</v>
      </c>
      <c r="B116" s="193"/>
      <c r="C116" s="204" t="s">
        <v>824</v>
      </c>
      <c r="D116" s="200" t="s">
        <v>763</v>
      </c>
      <c r="E116" s="201"/>
      <c r="F116" s="202" t="s">
        <v>735</v>
      </c>
      <c r="G116" s="203">
        <v>32</v>
      </c>
      <c r="H116" s="190"/>
      <c r="I116" s="190"/>
      <c r="J116" s="190"/>
    </row>
    <row r="117" spans="1:10" s="199" customFormat="1">
      <c r="A117" s="192">
        <f t="shared" si="1"/>
        <v>98</v>
      </c>
      <c r="B117" s="193"/>
      <c r="C117" s="204" t="s">
        <v>739</v>
      </c>
      <c r="D117" s="200"/>
      <c r="E117" s="201"/>
      <c r="F117" s="202" t="s">
        <v>740</v>
      </c>
      <c r="G117" s="203">
        <v>1</v>
      </c>
      <c r="H117" s="190"/>
      <c r="I117" s="190"/>
      <c r="J117" s="190"/>
    </row>
    <row r="118" spans="1:10" s="199" customFormat="1" ht="38.25">
      <c r="A118" s="192">
        <f t="shared" si="1"/>
        <v>99</v>
      </c>
      <c r="B118" s="193"/>
      <c r="C118" s="204" t="s">
        <v>832</v>
      </c>
      <c r="D118" s="200" t="s">
        <v>763</v>
      </c>
      <c r="E118" s="201"/>
      <c r="F118" s="202" t="s">
        <v>735</v>
      </c>
      <c r="G118" s="203">
        <v>32</v>
      </c>
      <c r="H118" s="190"/>
      <c r="I118" s="190"/>
      <c r="J118" s="190"/>
    </row>
    <row r="119" spans="1:10" s="199" customFormat="1" ht="25.5">
      <c r="A119" s="192">
        <f t="shared" si="1"/>
        <v>100</v>
      </c>
      <c r="B119" s="193"/>
      <c r="C119" s="204" t="s">
        <v>781</v>
      </c>
      <c r="D119" s="200"/>
      <c r="E119" s="201"/>
      <c r="F119" s="202" t="s">
        <v>735</v>
      </c>
      <c r="G119" s="203">
        <v>32</v>
      </c>
      <c r="H119" s="190"/>
      <c r="I119" s="190"/>
      <c r="J119" s="190"/>
    </row>
    <row r="120" spans="1:10" s="199" customFormat="1">
      <c r="A120" s="192">
        <f t="shared" si="1"/>
        <v>101</v>
      </c>
      <c r="B120" s="193"/>
      <c r="C120" s="204" t="s">
        <v>826</v>
      </c>
      <c r="D120" s="200"/>
      <c r="E120" s="201"/>
      <c r="F120" s="202" t="s">
        <v>740</v>
      </c>
      <c r="G120" s="203">
        <v>1</v>
      </c>
      <c r="H120" s="190"/>
      <c r="I120" s="190"/>
      <c r="J120" s="190"/>
    </row>
    <row r="121" spans="1:10" s="199" customFormat="1">
      <c r="A121" s="192">
        <f t="shared" si="1"/>
        <v>102</v>
      </c>
      <c r="B121" s="193"/>
      <c r="C121" s="204" t="s">
        <v>778</v>
      </c>
      <c r="D121" s="200"/>
      <c r="E121" s="201"/>
      <c r="F121" s="202" t="s">
        <v>740</v>
      </c>
      <c r="G121" s="203">
        <v>1</v>
      </c>
      <c r="H121" s="190"/>
      <c r="I121" s="190"/>
      <c r="J121" s="190"/>
    </row>
    <row r="122" spans="1:10" s="199" customFormat="1">
      <c r="A122" s="192">
        <f t="shared" si="1"/>
        <v>103</v>
      </c>
      <c r="B122" s="193"/>
      <c r="C122" s="204" t="s">
        <v>779</v>
      </c>
      <c r="D122" s="200"/>
      <c r="E122" s="201"/>
      <c r="F122" s="202" t="s">
        <v>740</v>
      </c>
      <c r="G122" s="203">
        <v>1</v>
      </c>
      <c r="H122" s="190"/>
      <c r="I122" s="190"/>
      <c r="J122" s="190"/>
    </row>
    <row r="123" spans="1:10" s="199" customFormat="1">
      <c r="A123" s="192">
        <f t="shared" si="1"/>
        <v>104</v>
      </c>
      <c r="B123" s="193"/>
      <c r="C123" s="204" t="s">
        <v>780</v>
      </c>
      <c r="D123" s="200"/>
      <c r="E123" s="201"/>
      <c r="F123" s="202" t="s">
        <v>740</v>
      </c>
      <c r="G123" s="203">
        <v>1</v>
      </c>
      <c r="H123" s="190"/>
      <c r="I123" s="190"/>
      <c r="J123" s="190"/>
    </row>
    <row r="124" spans="1:10" s="319" customFormat="1" ht="12.75" customHeight="1">
      <c r="A124" s="317"/>
      <c r="B124" s="317"/>
      <c r="C124" s="342" t="s">
        <v>0</v>
      </c>
      <c r="D124" s="343"/>
      <c r="E124" s="344"/>
      <c r="F124" s="209"/>
      <c r="G124" s="210"/>
      <c r="H124" s="318"/>
      <c r="I124" s="318"/>
    </row>
    <row r="125" spans="1:10" s="214" customFormat="1">
      <c r="A125" s="211"/>
      <c r="B125" s="211"/>
      <c r="C125" s="212"/>
      <c r="D125" s="213"/>
      <c r="E125" s="213"/>
    </row>
    <row r="126" spans="1:10" s="184" customFormat="1">
      <c r="A126" s="22"/>
      <c r="B126" s="6"/>
      <c r="C126" s="20"/>
      <c r="D126" s="20"/>
      <c r="E126" s="255"/>
      <c r="F126" s="216"/>
      <c r="G126" s="215"/>
      <c r="H126" s="183"/>
      <c r="I126" s="183"/>
    </row>
    <row r="127" spans="1:10" s="184" customFormat="1">
      <c r="A127" s="331" t="s">
        <v>14</v>
      </c>
      <c r="B127" s="331"/>
      <c r="C127" s="275" t="s">
        <v>1082</v>
      </c>
      <c r="D127" s="20"/>
      <c r="E127" s="255"/>
      <c r="F127" s="218"/>
      <c r="G127" s="217"/>
      <c r="H127" s="183"/>
      <c r="I127" s="183"/>
    </row>
    <row r="128" spans="1:10" s="184" customFormat="1">
      <c r="A128" s="25"/>
      <c r="B128" s="6"/>
      <c r="C128" s="74" t="s">
        <v>15</v>
      </c>
      <c r="D128" s="20"/>
      <c r="E128" s="255"/>
      <c r="F128" s="220"/>
      <c r="G128" s="217"/>
      <c r="H128" s="183"/>
      <c r="I128" s="183"/>
    </row>
    <row r="129" spans="1:5">
      <c r="A129" s="25"/>
      <c r="B129" s="6"/>
      <c r="C129" s="238" t="s">
        <v>21</v>
      </c>
      <c r="D129" s="20"/>
      <c r="E129" s="255"/>
    </row>
    <row r="130" spans="1:5">
      <c r="A130" s="25"/>
      <c r="B130" s="6"/>
      <c r="C130" s="6" t="s">
        <v>1086</v>
      </c>
      <c r="D130" s="20"/>
      <c r="E130" s="255"/>
    </row>
    <row r="131" spans="1:5">
      <c r="A131" s="25"/>
      <c r="B131" s="25"/>
      <c r="C131" s="25"/>
      <c r="D131" s="25"/>
      <c r="E131" s="25"/>
    </row>
    <row r="132" spans="1:5">
      <c r="A132" s="25"/>
      <c r="B132" s="25"/>
      <c r="C132" s="25"/>
      <c r="D132" s="25"/>
      <c r="E132" s="25"/>
    </row>
    <row r="133" spans="1:5">
      <c r="A133" s="25"/>
      <c r="B133" s="25"/>
      <c r="C133" s="25"/>
      <c r="D133" s="25"/>
      <c r="E133" s="25"/>
    </row>
    <row r="134" spans="1:5">
      <c r="A134" s="25"/>
      <c r="B134" s="25"/>
      <c r="C134" s="25"/>
      <c r="D134" s="25"/>
      <c r="E134" s="25"/>
    </row>
    <row r="135" spans="1:5">
      <c r="A135" s="25"/>
      <c r="B135" s="25"/>
      <c r="C135" s="25"/>
      <c r="D135" s="25"/>
      <c r="E135" s="25"/>
    </row>
    <row r="136" spans="1:5">
      <c r="A136" s="25"/>
      <c r="B136" s="25"/>
      <c r="C136" s="25"/>
      <c r="D136" s="25"/>
      <c r="E136" s="25"/>
    </row>
    <row r="137" spans="1:5">
      <c r="A137" s="25"/>
      <c r="B137" s="25"/>
      <c r="C137" s="25"/>
      <c r="D137" s="25"/>
      <c r="E137" s="25"/>
    </row>
    <row r="138" spans="1:5">
      <c r="A138" s="25"/>
      <c r="B138" s="25"/>
      <c r="C138" s="25"/>
      <c r="D138" s="25"/>
      <c r="E138" s="25"/>
    </row>
    <row r="139" spans="1:5">
      <c r="A139" s="25"/>
      <c r="B139" s="25"/>
      <c r="C139" s="25"/>
      <c r="D139" s="25"/>
      <c r="E139" s="25"/>
    </row>
    <row r="140" spans="1:5">
      <c r="A140" s="25"/>
      <c r="B140" s="25"/>
      <c r="C140" s="25"/>
      <c r="D140" s="25"/>
      <c r="E140" s="25"/>
    </row>
    <row r="141" spans="1:5">
      <c r="A141" s="25"/>
      <c r="B141" s="25"/>
      <c r="C141" s="25"/>
      <c r="D141" s="25"/>
      <c r="E141" s="25"/>
    </row>
    <row r="142" spans="1:5">
      <c r="A142" s="25"/>
      <c r="B142" s="25"/>
      <c r="C142" s="25"/>
      <c r="D142" s="25"/>
      <c r="E142" s="25"/>
    </row>
    <row r="143" spans="1:5">
      <c r="A143" s="25"/>
      <c r="B143" s="25"/>
      <c r="C143" s="25"/>
      <c r="D143" s="25"/>
      <c r="E143" s="25"/>
    </row>
  </sheetData>
  <mergeCells count="9">
    <mergeCell ref="A1:G1"/>
    <mergeCell ref="A2:G2"/>
    <mergeCell ref="A127:B127"/>
    <mergeCell ref="B11:B12"/>
    <mergeCell ref="C124:E124"/>
    <mergeCell ref="C11:E12"/>
    <mergeCell ref="F11:F12"/>
    <mergeCell ref="G11:G12"/>
    <mergeCell ref="A11:A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2"/>
  <sheetViews>
    <sheetView view="pageBreakPreview" topLeftCell="A73" zoomScaleNormal="262" zoomScaleSheetLayoutView="100" workbookViewId="0">
      <selection activeCell="C25" sqref="C25"/>
    </sheetView>
  </sheetViews>
  <sheetFormatPr defaultColWidth="5.5703125" defaultRowHeight="12.75"/>
  <cols>
    <col min="1" max="2" width="6.42578125" style="25" customWidth="1"/>
    <col min="3" max="3" width="39.28515625" style="25" customWidth="1"/>
    <col min="4" max="4" width="17.140625" style="242" customWidth="1"/>
    <col min="5" max="5" width="20.28515625" style="242" customWidth="1"/>
    <col min="6" max="7" width="6.42578125" style="25" customWidth="1"/>
    <col min="8" max="8" width="5.5703125" style="23"/>
    <col min="9" max="9" width="6.7109375" style="25" customWidth="1"/>
    <col min="10" max="16384" width="5.5703125" style="25"/>
  </cols>
  <sheetData>
    <row r="1" spans="1:9" s="3" customFormat="1">
      <c r="A1" s="332" t="s">
        <v>1093</v>
      </c>
      <c r="B1" s="332"/>
      <c r="C1" s="332"/>
      <c r="D1" s="332"/>
      <c r="E1" s="332"/>
      <c r="F1" s="332"/>
      <c r="G1" s="332"/>
      <c r="H1" s="2"/>
    </row>
    <row r="2" spans="1:9" s="3" customFormat="1">
      <c r="A2" s="333" t="s">
        <v>833</v>
      </c>
      <c r="B2" s="333"/>
      <c r="C2" s="333"/>
      <c r="D2" s="333"/>
      <c r="E2" s="333"/>
      <c r="F2" s="333"/>
      <c r="G2" s="333"/>
      <c r="H2" s="2"/>
    </row>
    <row r="3" spans="1:9" s="3" customFormat="1">
      <c r="A3" s="276"/>
      <c r="B3" s="276"/>
      <c r="C3" s="276"/>
      <c r="D3" s="276"/>
      <c r="E3" s="276"/>
      <c r="F3" s="276"/>
      <c r="G3" s="276"/>
      <c r="H3" s="2"/>
    </row>
    <row r="4" spans="1:9" s="3" customFormat="1">
      <c r="A4" s="4" t="s">
        <v>19</v>
      </c>
      <c r="B4" s="4"/>
      <c r="C4" s="2"/>
      <c r="D4" s="237"/>
      <c r="E4" s="237"/>
      <c r="F4" s="5"/>
      <c r="G4" s="5"/>
      <c r="H4" s="2"/>
    </row>
    <row r="5" spans="1:9" s="3" customFormat="1">
      <c r="A5" s="4" t="s">
        <v>13</v>
      </c>
      <c r="B5" s="4"/>
      <c r="C5" s="2"/>
      <c r="D5" s="237"/>
      <c r="E5" s="237"/>
      <c r="F5" s="5"/>
      <c r="G5" s="5"/>
      <c r="H5" s="2"/>
    </row>
    <row r="6" spans="1:9" s="3" customFormat="1">
      <c r="A6" s="4" t="s">
        <v>18</v>
      </c>
      <c r="B6" s="4"/>
      <c r="C6" s="2"/>
      <c r="D6" s="237"/>
      <c r="E6" s="237"/>
      <c r="F6" s="5"/>
      <c r="G6" s="5"/>
      <c r="H6" s="2"/>
    </row>
    <row r="7" spans="1:9" s="3" customFormat="1">
      <c r="A7" s="4" t="s">
        <v>1083</v>
      </c>
      <c r="B7" s="4"/>
      <c r="C7" s="2"/>
      <c r="D7" s="237"/>
      <c r="E7" s="237"/>
      <c r="F7" s="5"/>
      <c r="G7" s="5"/>
      <c r="H7" s="2"/>
    </row>
    <row r="8" spans="1:9" s="3" customFormat="1">
      <c r="A8" s="3" t="s">
        <v>12</v>
      </c>
      <c r="B8" s="4"/>
      <c r="C8" s="2"/>
      <c r="D8" s="237"/>
      <c r="E8" s="237"/>
      <c r="F8" s="5"/>
      <c r="G8" s="5"/>
      <c r="H8" s="2"/>
    </row>
    <row r="9" spans="1:9" s="3" customFormat="1">
      <c r="A9" s="3" t="s">
        <v>17</v>
      </c>
      <c r="C9" s="6"/>
      <c r="D9" s="238"/>
      <c r="E9" s="238"/>
      <c r="F9" s="5"/>
      <c r="H9" s="2"/>
    </row>
    <row r="10" spans="1:9" s="3" customFormat="1">
      <c r="C10" s="6"/>
      <c r="D10" s="238"/>
      <c r="E10" s="238"/>
      <c r="F10" s="5"/>
      <c r="H10" s="2"/>
    </row>
    <row r="11" spans="1:9" s="3" customFormat="1" ht="12.75" customHeight="1">
      <c r="A11" s="334" t="s">
        <v>3</v>
      </c>
      <c r="B11" s="334" t="s">
        <v>4</v>
      </c>
      <c r="C11" s="355" t="s">
        <v>6</v>
      </c>
      <c r="D11" s="356"/>
      <c r="E11" s="357"/>
      <c r="F11" s="334" t="s">
        <v>1</v>
      </c>
      <c r="G11" s="336" t="s">
        <v>2</v>
      </c>
      <c r="H11" s="2"/>
    </row>
    <row r="12" spans="1:9" s="3" customFormat="1" ht="55.5" customHeight="1">
      <c r="A12" s="335"/>
      <c r="B12" s="335"/>
      <c r="C12" s="358"/>
      <c r="D12" s="359"/>
      <c r="E12" s="360"/>
      <c r="F12" s="335"/>
      <c r="G12" s="336"/>
      <c r="H12" s="2"/>
    </row>
    <row r="13" spans="1:9" s="140" customFormat="1" ht="12.75" customHeight="1">
      <c r="A13" s="76"/>
      <c r="B13" s="76" t="s">
        <v>373</v>
      </c>
      <c r="C13" s="245" t="s">
        <v>834</v>
      </c>
      <c r="D13" s="239"/>
      <c r="E13" s="240"/>
      <c r="F13" s="78"/>
      <c r="G13" s="79"/>
      <c r="H13" s="48"/>
    </row>
    <row r="14" spans="1:9" s="8" customFormat="1" ht="38.25">
      <c r="A14" s="289">
        <v>1</v>
      </c>
      <c r="B14" s="290"/>
      <c r="C14" s="365" t="s">
        <v>835</v>
      </c>
      <c r="D14" s="291" t="s">
        <v>836</v>
      </c>
      <c r="E14" s="330" t="s">
        <v>1210</v>
      </c>
      <c r="F14" s="244" t="s">
        <v>742</v>
      </c>
      <c r="G14" s="292">
        <v>1</v>
      </c>
      <c r="H14" s="17"/>
      <c r="I14" s="17"/>
    </row>
    <row r="15" spans="1:9" s="8" customFormat="1" ht="38.25">
      <c r="A15" s="289">
        <f>A14+1</f>
        <v>2</v>
      </c>
      <c r="B15" s="290"/>
      <c r="C15" s="364" t="s">
        <v>837</v>
      </c>
      <c r="D15" s="294" t="s">
        <v>838</v>
      </c>
      <c r="E15" s="295" t="s">
        <v>1210</v>
      </c>
      <c r="F15" s="70" t="s">
        <v>742</v>
      </c>
      <c r="G15" s="296">
        <v>1</v>
      </c>
      <c r="H15" s="17"/>
      <c r="I15" s="17"/>
    </row>
    <row r="16" spans="1:9" s="8" customFormat="1">
      <c r="A16" s="289">
        <f t="shared" ref="A16:A81" si="0">A15+1</f>
        <v>3</v>
      </c>
      <c r="B16" s="290"/>
      <c r="C16" s="293" t="s">
        <v>839</v>
      </c>
      <c r="D16" s="294" t="s">
        <v>840</v>
      </c>
      <c r="E16" s="295" t="s">
        <v>1211</v>
      </c>
      <c r="F16" s="70" t="s">
        <v>742</v>
      </c>
      <c r="G16" s="296">
        <v>1</v>
      </c>
      <c r="H16" s="17"/>
      <c r="I16" s="17"/>
    </row>
    <row r="17" spans="1:9" s="8" customFormat="1">
      <c r="A17" s="289">
        <f t="shared" si="0"/>
        <v>4</v>
      </c>
      <c r="B17" s="290"/>
      <c r="C17" s="293" t="s">
        <v>839</v>
      </c>
      <c r="D17" s="294" t="s">
        <v>841</v>
      </c>
      <c r="E17" s="295" t="s">
        <v>1211</v>
      </c>
      <c r="F17" s="70" t="s">
        <v>742</v>
      </c>
      <c r="G17" s="296">
        <v>1</v>
      </c>
      <c r="H17" s="17"/>
      <c r="I17" s="17"/>
    </row>
    <row r="18" spans="1:9" s="8" customFormat="1">
      <c r="A18" s="289">
        <f t="shared" si="0"/>
        <v>5</v>
      </c>
      <c r="B18" s="290"/>
      <c r="C18" s="297" t="s">
        <v>842</v>
      </c>
      <c r="D18" s="298" t="s">
        <v>843</v>
      </c>
      <c r="E18" s="299"/>
      <c r="F18" s="70" t="s">
        <v>735</v>
      </c>
      <c r="G18" s="296">
        <v>18</v>
      </c>
      <c r="H18" s="17"/>
      <c r="I18" s="17"/>
    </row>
    <row r="19" spans="1:9" s="8" customFormat="1">
      <c r="A19" s="289">
        <f t="shared" si="0"/>
        <v>6</v>
      </c>
      <c r="B19" s="290"/>
      <c r="C19" s="297" t="s">
        <v>842</v>
      </c>
      <c r="D19" s="298" t="s">
        <v>844</v>
      </c>
      <c r="E19" s="299"/>
      <c r="F19" s="70" t="s">
        <v>735</v>
      </c>
      <c r="G19" s="296">
        <v>24</v>
      </c>
      <c r="H19" s="17"/>
      <c r="I19" s="17"/>
    </row>
    <row r="20" spans="1:9" s="8" customFormat="1">
      <c r="A20" s="289">
        <f t="shared" si="0"/>
        <v>7</v>
      </c>
      <c r="B20" s="290"/>
      <c r="C20" s="297" t="s">
        <v>842</v>
      </c>
      <c r="D20" s="298" t="s">
        <v>845</v>
      </c>
      <c r="E20" s="299"/>
      <c r="F20" s="70" t="s">
        <v>735</v>
      </c>
      <c r="G20" s="296">
        <v>1</v>
      </c>
      <c r="H20" s="17"/>
      <c r="I20" s="17"/>
    </row>
    <row r="21" spans="1:9" s="8" customFormat="1">
      <c r="A21" s="289">
        <f t="shared" si="0"/>
        <v>8</v>
      </c>
      <c r="B21" s="290"/>
      <c r="C21" s="297" t="s">
        <v>842</v>
      </c>
      <c r="D21" s="298" t="s">
        <v>846</v>
      </c>
      <c r="E21" s="299"/>
      <c r="F21" s="70" t="s">
        <v>735</v>
      </c>
      <c r="G21" s="296">
        <v>38</v>
      </c>
      <c r="H21" s="17"/>
      <c r="I21" s="17"/>
    </row>
    <row r="22" spans="1:9" s="8" customFormat="1">
      <c r="A22" s="289">
        <f t="shared" si="0"/>
        <v>9</v>
      </c>
      <c r="B22" s="290"/>
      <c r="C22" s="297" t="s">
        <v>842</v>
      </c>
      <c r="D22" s="298" t="s">
        <v>847</v>
      </c>
      <c r="E22" s="299"/>
      <c r="F22" s="70" t="s">
        <v>735</v>
      </c>
      <c r="G22" s="296">
        <v>42</v>
      </c>
      <c r="H22" s="17"/>
      <c r="I22" s="17"/>
    </row>
    <row r="23" spans="1:9" s="8" customFormat="1">
      <c r="A23" s="289">
        <f t="shared" si="0"/>
        <v>10</v>
      </c>
      <c r="B23" s="290"/>
      <c r="C23" s="297" t="s">
        <v>842</v>
      </c>
      <c r="D23" s="298" t="s">
        <v>848</v>
      </c>
      <c r="E23" s="299"/>
      <c r="F23" s="70" t="s">
        <v>735</v>
      </c>
      <c r="G23" s="296">
        <v>14</v>
      </c>
      <c r="H23" s="17"/>
      <c r="I23" s="17"/>
    </row>
    <row r="24" spans="1:9" s="8" customFormat="1">
      <c r="A24" s="289">
        <f t="shared" si="0"/>
        <v>11</v>
      </c>
      <c r="B24" s="290"/>
      <c r="C24" s="297" t="s">
        <v>842</v>
      </c>
      <c r="D24" s="298" t="s">
        <v>849</v>
      </c>
      <c r="E24" s="299"/>
      <c r="F24" s="70" t="s">
        <v>735</v>
      </c>
      <c r="G24" s="296">
        <v>10</v>
      </c>
      <c r="H24" s="17"/>
      <c r="I24" s="17"/>
    </row>
    <row r="25" spans="1:9" s="8" customFormat="1">
      <c r="A25" s="289">
        <f t="shared" si="0"/>
        <v>12</v>
      </c>
      <c r="B25" s="290"/>
      <c r="C25" s="297" t="s">
        <v>842</v>
      </c>
      <c r="D25" s="298" t="s">
        <v>850</v>
      </c>
      <c r="E25" s="299"/>
      <c r="F25" s="70" t="s">
        <v>735</v>
      </c>
      <c r="G25" s="296">
        <v>22</v>
      </c>
      <c r="H25" s="17"/>
      <c r="I25" s="17"/>
    </row>
    <row r="26" spans="1:9" s="8" customFormat="1">
      <c r="A26" s="289">
        <f t="shared" si="0"/>
        <v>13</v>
      </c>
      <c r="B26" s="290"/>
      <c r="C26" s="297" t="s">
        <v>842</v>
      </c>
      <c r="D26" s="298" t="s">
        <v>851</v>
      </c>
      <c r="E26" s="299"/>
      <c r="F26" s="70" t="s">
        <v>735</v>
      </c>
      <c r="G26" s="296">
        <v>4</v>
      </c>
      <c r="H26" s="17"/>
      <c r="I26" s="17"/>
    </row>
    <row r="27" spans="1:9" s="8" customFormat="1">
      <c r="A27" s="289">
        <f t="shared" si="0"/>
        <v>14</v>
      </c>
      <c r="B27" s="290"/>
      <c r="C27" s="297" t="s">
        <v>842</v>
      </c>
      <c r="D27" s="298" t="s">
        <v>852</v>
      </c>
      <c r="E27" s="299"/>
      <c r="F27" s="70" t="s">
        <v>735</v>
      </c>
      <c r="G27" s="296">
        <v>5</v>
      </c>
      <c r="H27" s="17"/>
      <c r="I27" s="17"/>
    </row>
    <row r="28" spans="1:9" s="8" customFormat="1">
      <c r="A28" s="289">
        <f t="shared" si="0"/>
        <v>15</v>
      </c>
      <c r="B28" s="290"/>
      <c r="C28" s="297" t="s">
        <v>842</v>
      </c>
      <c r="D28" s="298" t="s">
        <v>853</v>
      </c>
      <c r="E28" s="299"/>
      <c r="F28" s="70" t="s">
        <v>735</v>
      </c>
      <c r="G28" s="296">
        <v>8</v>
      </c>
      <c r="H28" s="17"/>
      <c r="I28" s="17"/>
    </row>
    <row r="29" spans="1:9" s="8" customFormat="1">
      <c r="A29" s="289">
        <f t="shared" si="0"/>
        <v>16</v>
      </c>
      <c r="B29" s="290"/>
      <c r="C29" s="297" t="s">
        <v>842</v>
      </c>
      <c r="D29" s="298" t="s">
        <v>854</v>
      </c>
      <c r="E29" s="299"/>
      <c r="F29" s="70" t="s">
        <v>735</v>
      </c>
      <c r="G29" s="296">
        <v>1</v>
      </c>
      <c r="H29" s="17"/>
      <c r="I29" s="17"/>
    </row>
    <row r="30" spans="1:9" s="8" customFormat="1">
      <c r="A30" s="289">
        <f t="shared" si="0"/>
        <v>17</v>
      </c>
      <c r="B30" s="290"/>
      <c r="C30" s="297" t="s">
        <v>842</v>
      </c>
      <c r="D30" s="298" t="s">
        <v>855</v>
      </c>
      <c r="E30" s="299"/>
      <c r="F30" s="70" t="s">
        <v>735</v>
      </c>
      <c r="G30" s="296">
        <v>17</v>
      </c>
      <c r="H30" s="17"/>
      <c r="I30" s="17"/>
    </row>
    <row r="31" spans="1:9" s="8" customFormat="1">
      <c r="A31" s="289">
        <f t="shared" si="0"/>
        <v>18</v>
      </c>
      <c r="B31" s="290"/>
      <c r="C31" s="297" t="s">
        <v>842</v>
      </c>
      <c r="D31" s="298" t="s">
        <v>856</v>
      </c>
      <c r="E31" s="299"/>
      <c r="F31" s="70" t="s">
        <v>735</v>
      </c>
      <c r="G31" s="296">
        <v>12</v>
      </c>
      <c r="H31" s="17"/>
      <c r="I31" s="17"/>
    </row>
    <row r="32" spans="1:9" s="8" customFormat="1">
      <c r="A32" s="289">
        <f t="shared" si="0"/>
        <v>19</v>
      </c>
      <c r="B32" s="290"/>
      <c r="C32" s="297" t="s">
        <v>842</v>
      </c>
      <c r="D32" s="298" t="s">
        <v>857</v>
      </c>
      <c r="E32" s="299"/>
      <c r="F32" s="70" t="s">
        <v>735</v>
      </c>
      <c r="G32" s="296">
        <v>2</v>
      </c>
      <c r="H32" s="17"/>
      <c r="I32" s="17"/>
    </row>
    <row r="33" spans="1:9" s="8" customFormat="1">
      <c r="A33" s="289">
        <f t="shared" si="0"/>
        <v>20</v>
      </c>
      <c r="B33" s="290"/>
      <c r="C33" s="297" t="s">
        <v>842</v>
      </c>
      <c r="D33" s="298" t="s">
        <v>858</v>
      </c>
      <c r="E33" s="299"/>
      <c r="F33" s="70" t="s">
        <v>735</v>
      </c>
      <c r="G33" s="296">
        <v>1</v>
      </c>
      <c r="H33" s="17"/>
      <c r="I33" s="17"/>
    </row>
    <row r="34" spans="1:9" s="8" customFormat="1">
      <c r="A34" s="289">
        <f t="shared" si="0"/>
        <v>21</v>
      </c>
      <c r="B34" s="290"/>
      <c r="C34" s="297" t="s">
        <v>842</v>
      </c>
      <c r="D34" s="298" t="s">
        <v>859</v>
      </c>
      <c r="E34" s="299"/>
      <c r="F34" s="70" t="s">
        <v>735</v>
      </c>
      <c r="G34" s="296">
        <v>2</v>
      </c>
      <c r="H34" s="17"/>
      <c r="I34" s="17"/>
    </row>
    <row r="35" spans="1:9" s="8" customFormat="1">
      <c r="A35" s="289">
        <f t="shared" si="0"/>
        <v>22</v>
      </c>
      <c r="B35" s="290"/>
      <c r="C35" s="297" t="s">
        <v>842</v>
      </c>
      <c r="D35" s="298" t="s">
        <v>860</v>
      </c>
      <c r="E35" s="299"/>
      <c r="F35" s="70" t="s">
        <v>735</v>
      </c>
      <c r="G35" s="296">
        <v>2</v>
      </c>
      <c r="H35" s="17"/>
      <c r="I35" s="17"/>
    </row>
    <row r="36" spans="1:9" s="8" customFormat="1">
      <c r="A36" s="289">
        <f t="shared" si="0"/>
        <v>23</v>
      </c>
      <c r="B36" s="290"/>
      <c r="C36" s="297" t="s">
        <v>842</v>
      </c>
      <c r="D36" s="298" t="s">
        <v>861</v>
      </c>
      <c r="E36" s="299"/>
      <c r="F36" s="70" t="s">
        <v>735</v>
      </c>
      <c r="G36" s="296">
        <v>1</v>
      </c>
      <c r="H36" s="17"/>
      <c r="I36" s="17"/>
    </row>
    <row r="37" spans="1:9" s="8" customFormat="1">
      <c r="A37" s="289">
        <f t="shared" si="0"/>
        <v>24</v>
      </c>
      <c r="B37" s="290"/>
      <c r="C37" s="297" t="s">
        <v>862</v>
      </c>
      <c r="D37" s="298"/>
      <c r="E37" s="299"/>
      <c r="F37" s="70" t="s">
        <v>740</v>
      </c>
      <c r="G37" s="296">
        <v>1</v>
      </c>
      <c r="H37" s="17"/>
      <c r="I37" s="17"/>
    </row>
    <row r="38" spans="1:9" s="8" customFormat="1">
      <c r="A38" s="289">
        <f t="shared" si="0"/>
        <v>25</v>
      </c>
      <c r="B38" s="290"/>
      <c r="C38" s="297" t="s">
        <v>863</v>
      </c>
      <c r="D38" s="298" t="s">
        <v>864</v>
      </c>
      <c r="E38" s="299" t="s">
        <v>1212</v>
      </c>
      <c r="F38" s="70" t="s">
        <v>742</v>
      </c>
      <c r="G38" s="296">
        <v>1</v>
      </c>
      <c r="H38" s="17"/>
      <c r="I38" s="17"/>
    </row>
    <row r="39" spans="1:9" s="8" customFormat="1">
      <c r="A39" s="289">
        <f t="shared" si="0"/>
        <v>26</v>
      </c>
      <c r="B39" s="290"/>
      <c r="C39" s="297" t="s">
        <v>863</v>
      </c>
      <c r="D39" s="298" t="s">
        <v>865</v>
      </c>
      <c r="E39" s="299" t="s">
        <v>1212</v>
      </c>
      <c r="F39" s="70" t="s">
        <v>742</v>
      </c>
      <c r="G39" s="296">
        <v>2</v>
      </c>
      <c r="H39" s="17"/>
      <c r="I39" s="17"/>
    </row>
    <row r="40" spans="1:9" s="8" customFormat="1">
      <c r="A40" s="289">
        <f t="shared" si="0"/>
        <v>27</v>
      </c>
      <c r="B40" s="290"/>
      <c r="C40" s="297" t="s">
        <v>863</v>
      </c>
      <c r="D40" s="298" t="s">
        <v>866</v>
      </c>
      <c r="E40" s="299" t="s">
        <v>1212</v>
      </c>
      <c r="F40" s="70" t="s">
        <v>742</v>
      </c>
      <c r="G40" s="296">
        <v>1</v>
      </c>
      <c r="H40" s="17"/>
      <c r="I40" s="17"/>
    </row>
    <row r="41" spans="1:9" s="8" customFormat="1">
      <c r="A41" s="289">
        <f t="shared" si="0"/>
        <v>28</v>
      </c>
      <c r="B41" s="290"/>
      <c r="C41" s="297" t="s">
        <v>863</v>
      </c>
      <c r="D41" s="298" t="s">
        <v>867</v>
      </c>
      <c r="E41" s="299" t="s">
        <v>1212</v>
      </c>
      <c r="F41" s="70" t="s">
        <v>742</v>
      </c>
      <c r="G41" s="296">
        <v>1</v>
      </c>
      <c r="H41" s="17"/>
      <c r="I41" s="17"/>
    </row>
    <row r="42" spans="1:9" s="8" customFormat="1">
      <c r="A42" s="289">
        <f t="shared" si="0"/>
        <v>29</v>
      </c>
      <c r="B42" s="290"/>
      <c r="C42" s="297" t="s">
        <v>868</v>
      </c>
      <c r="D42" s="298" t="s">
        <v>869</v>
      </c>
      <c r="E42" s="299" t="s">
        <v>1212</v>
      </c>
      <c r="F42" s="70" t="s">
        <v>742</v>
      </c>
      <c r="G42" s="296">
        <v>1</v>
      </c>
      <c r="H42" s="17"/>
      <c r="I42" s="17"/>
    </row>
    <row r="43" spans="1:9" s="8" customFormat="1">
      <c r="A43" s="289">
        <f t="shared" si="0"/>
        <v>30</v>
      </c>
      <c r="B43" s="290"/>
      <c r="C43" s="297" t="s">
        <v>868</v>
      </c>
      <c r="D43" s="298" t="s">
        <v>870</v>
      </c>
      <c r="E43" s="299" t="s">
        <v>1212</v>
      </c>
      <c r="F43" s="70" t="s">
        <v>742</v>
      </c>
      <c r="G43" s="296">
        <v>1</v>
      </c>
      <c r="H43" s="17"/>
      <c r="I43" s="17"/>
    </row>
    <row r="44" spans="1:9" s="8" customFormat="1">
      <c r="A44" s="289">
        <f t="shared" si="0"/>
        <v>31</v>
      </c>
      <c r="B44" s="290"/>
      <c r="C44" s="297" t="s">
        <v>871</v>
      </c>
      <c r="D44" s="298" t="s">
        <v>872</v>
      </c>
      <c r="E44" s="299" t="s">
        <v>1213</v>
      </c>
      <c r="F44" s="70" t="s">
        <v>742</v>
      </c>
      <c r="G44" s="296">
        <v>10</v>
      </c>
      <c r="H44" s="17"/>
      <c r="I44" s="17"/>
    </row>
    <row r="45" spans="1:9" s="8" customFormat="1">
      <c r="A45" s="289">
        <f t="shared" si="0"/>
        <v>32</v>
      </c>
      <c r="B45" s="290"/>
      <c r="C45" s="297" t="s">
        <v>871</v>
      </c>
      <c r="D45" s="298" t="s">
        <v>873</v>
      </c>
      <c r="E45" s="299" t="s">
        <v>1213</v>
      </c>
      <c r="F45" s="70" t="s">
        <v>742</v>
      </c>
      <c r="G45" s="296">
        <v>13</v>
      </c>
      <c r="H45" s="17"/>
      <c r="I45" s="17"/>
    </row>
    <row r="46" spans="1:9" s="8" customFormat="1" ht="12" customHeight="1">
      <c r="A46" s="289">
        <f t="shared" si="0"/>
        <v>33</v>
      </c>
      <c r="B46" s="290"/>
      <c r="C46" s="297" t="s">
        <v>871</v>
      </c>
      <c r="D46" s="298" t="s">
        <v>874</v>
      </c>
      <c r="E46" s="299" t="s">
        <v>1213</v>
      </c>
      <c r="F46" s="70" t="s">
        <v>742</v>
      </c>
      <c r="G46" s="296">
        <v>12</v>
      </c>
      <c r="H46" s="17"/>
      <c r="I46" s="17"/>
    </row>
    <row r="47" spans="1:9" s="18" customFormat="1">
      <c r="A47" s="300">
        <f t="shared" si="0"/>
        <v>34</v>
      </c>
      <c r="B47" s="301"/>
      <c r="C47" s="302" t="s">
        <v>875</v>
      </c>
      <c r="D47" s="303" t="s">
        <v>1051</v>
      </c>
      <c r="E47" s="304" t="s">
        <v>1214</v>
      </c>
      <c r="F47" s="272" t="s">
        <v>742</v>
      </c>
      <c r="G47" s="305">
        <v>6</v>
      </c>
      <c r="H47" s="181"/>
      <c r="I47" s="17"/>
    </row>
    <row r="48" spans="1:9" s="8" customFormat="1">
      <c r="A48" s="289">
        <f t="shared" si="0"/>
        <v>35</v>
      </c>
      <c r="B48" s="290"/>
      <c r="C48" s="297" t="s">
        <v>876</v>
      </c>
      <c r="D48" s="298" t="s">
        <v>877</v>
      </c>
      <c r="E48" s="299"/>
      <c r="F48" s="70" t="s">
        <v>742</v>
      </c>
      <c r="G48" s="296">
        <v>3</v>
      </c>
      <c r="H48" s="17"/>
      <c r="I48" s="17"/>
    </row>
    <row r="49" spans="1:9" s="8" customFormat="1">
      <c r="A49" s="289">
        <f t="shared" si="0"/>
        <v>36</v>
      </c>
      <c r="B49" s="290"/>
      <c r="C49" s="297" t="s">
        <v>876</v>
      </c>
      <c r="D49" s="298" t="s">
        <v>878</v>
      </c>
      <c r="E49" s="299"/>
      <c r="F49" s="70" t="s">
        <v>742</v>
      </c>
      <c r="G49" s="296">
        <v>2</v>
      </c>
      <c r="H49" s="17"/>
      <c r="I49" s="17"/>
    </row>
    <row r="50" spans="1:9" s="8" customFormat="1">
      <c r="A50" s="289">
        <f t="shared" si="0"/>
        <v>37</v>
      </c>
      <c r="B50" s="290"/>
      <c r="C50" s="297" t="s">
        <v>876</v>
      </c>
      <c r="D50" s="298" t="s">
        <v>879</v>
      </c>
      <c r="E50" s="299"/>
      <c r="F50" s="70" t="s">
        <v>742</v>
      </c>
      <c r="G50" s="296">
        <v>4</v>
      </c>
      <c r="H50" s="17"/>
      <c r="I50" s="17"/>
    </row>
    <row r="51" spans="1:9" s="8" customFormat="1">
      <c r="A51" s="289">
        <f t="shared" si="0"/>
        <v>38</v>
      </c>
      <c r="B51" s="290"/>
      <c r="C51" s="297" t="s">
        <v>876</v>
      </c>
      <c r="D51" s="298" t="s">
        <v>880</v>
      </c>
      <c r="E51" s="299"/>
      <c r="F51" s="70" t="s">
        <v>742</v>
      </c>
      <c r="G51" s="296">
        <v>7</v>
      </c>
      <c r="H51" s="17"/>
      <c r="I51" s="17"/>
    </row>
    <row r="52" spans="1:9" s="8" customFormat="1">
      <c r="A52" s="289">
        <f t="shared" si="0"/>
        <v>39</v>
      </c>
      <c r="B52" s="290"/>
      <c r="C52" s="297" t="s">
        <v>876</v>
      </c>
      <c r="D52" s="298" t="s">
        <v>881</v>
      </c>
      <c r="E52" s="299"/>
      <c r="F52" s="70" t="s">
        <v>742</v>
      </c>
      <c r="G52" s="296">
        <v>6</v>
      </c>
      <c r="H52" s="17"/>
      <c r="I52" s="17"/>
    </row>
    <row r="53" spans="1:9" s="8" customFormat="1">
      <c r="A53" s="289">
        <f t="shared" si="0"/>
        <v>40</v>
      </c>
      <c r="B53" s="290"/>
      <c r="C53" s="297" t="s">
        <v>876</v>
      </c>
      <c r="D53" s="298" t="s">
        <v>882</v>
      </c>
      <c r="E53" s="299" t="s">
        <v>1213</v>
      </c>
      <c r="F53" s="70" t="s">
        <v>742</v>
      </c>
      <c r="G53" s="296">
        <v>1</v>
      </c>
      <c r="H53" s="17"/>
      <c r="I53" s="17"/>
    </row>
    <row r="54" spans="1:9" s="8" customFormat="1">
      <c r="A54" s="289">
        <f t="shared" si="0"/>
        <v>41</v>
      </c>
      <c r="B54" s="290"/>
      <c r="C54" s="297" t="s">
        <v>883</v>
      </c>
      <c r="D54" s="298" t="s">
        <v>884</v>
      </c>
      <c r="E54" s="299" t="s">
        <v>1215</v>
      </c>
      <c r="F54" s="70" t="s">
        <v>742</v>
      </c>
      <c r="G54" s="296">
        <v>2</v>
      </c>
      <c r="H54" s="17"/>
      <c r="I54" s="17"/>
    </row>
    <row r="55" spans="1:9" s="8" customFormat="1">
      <c r="A55" s="289">
        <f t="shared" si="0"/>
        <v>42</v>
      </c>
      <c r="B55" s="290"/>
      <c r="C55" s="297" t="s">
        <v>883</v>
      </c>
      <c r="D55" s="298" t="s">
        <v>885</v>
      </c>
      <c r="E55" s="299" t="s">
        <v>1215</v>
      </c>
      <c r="F55" s="70" t="s">
        <v>742</v>
      </c>
      <c r="G55" s="296">
        <v>2</v>
      </c>
      <c r="H55" s="17"/>
      <c r="I55" s="17"/>
    </row>
    <row r="56" spans="1:9" s="8" customFormat="1">
      <c r="A56" s="289">
        <f t="shared" si="0"/>
        <v>43</v>
      </c>
      <c r="B56" s="290"/>
      <c r="C56" s="297" t="s">
        <v>886</v>
      </c>
      <c r="D56" s="298" t="s">
        <v>887</v>
      </c>
      <c r="E56" s="299" t="s">
        <v>1212</v>
      </c>
      <c r="F56" s="70" t="s">
        <v>742</v>
      </c>
      <c r="G56" s="296">
        <v>2</v>
      </c>
      <c r="H56" s="17"/>
      <c r="I56" s="17"/>
    </row>
    <row r="57" spans="1:9" s="8" customFormat="1">
      <c r="A57" s="289">
        <f t="shared" si="0"/>
        <v>44</v>
      </c>
      <c r="B57" s="290"/>
      <c r="C57" s="297" t="s">
        <v>886</v>
      </c>
      <c r="D57" s="298" t="s">
        <v>888</v>
      </c>
      <c r="E57" s="299" t="s">
        <v>1212</v>
      </c>
      <c r="F57" s="70" t="s">
        <v>742</v>
      </c>
      <c r="G57" s="296">
        <v>1</v>
      </c>
      <c r="H57" s="17"/>
      <c r="I57" s="17"/>
    </row>
    <row r="58" spans="1:9" s="8" customFormat="1">
      <c r="A58" s="289">
        <f t="shared" si="0"/>
        <v>45</v>
      </c>
      <c r="B58" s="290"/>
      <c r="C58" s="297" t="s">
        <v>886</v>
      </c>
      <c r="D58" s="298" t="s">
        <v>889</v>
      </c>
      <c r="E58" s="299" t="s">
        <v>1212</v>
      </c>
      <c r="F58" s="70" t="s">
        <v>742</v>
      </c>
      <c r="G58" s="296">
        <v>2</v>
      </c>
      <c r="H58" s="17"/>
      <c r="I58" s="17"/>
    </row>
    <row r="59" spans="1:9" s="8" customFormat="1">
      <c r="A59" s="289">
        <f t="shared" si="0"/>
        <v>46</v>
      </c>
      <c r="B59" s="290"/>
      <c r="C59" s="297" t="s">
        <v>886</v>
      </c>
      <c r="D59" s="298" t="s">
        <v>890</v>
      </c>
      <c r="E59" s="299" t="s">
        <v>1212</v>
      </c>
      <c r="F59" s="70" t="s">
        <v>742</v>
      </c>
      <c r="G59" s="296">
        <v>1</v>
      </c>
      <c r="H59" s="17"/>
      <c r="I59" s="17"/>
    </row>
    <row r="60" spans="1:9" s="8" customFormat="1">
      <c r="A60" s="289">
        <f t="shared" si="0"/>
        <v>47</v>
      </c>
      <c r="B60" s="290"/>
      <c r="C60" s="297" t="s">
        <v>886</v>
      </c>
      <c r="D60" s="298" t="s">
        <v>891</v>
      </c>
      <c r="E60" s="299" t="s">
        <v>1212</v>
      </c>
      <c r="F60" s="70" t="s">
        <v>742</v>
      </c>
      <c r="G60" s="296">
        <v>2</v>
      </c>
      <c r="H60" s="17"/>
      <c r="I60" s="17"/>
    </row>
    <row r="61" spans="1:9" s="8" customFormat="1">
      <c r="A61" s="289">
        <f t="shared" si="0"/>
        <v>48</v>
      </c>
      <c r="B61" s="290"/>
      <c r="C61" s="297" t="s">
        <v>886</v>
      </c>
      <c r="D61" s="298" t="s">
        <v>892</v>
      </c>
      <c r="E61" s="299" t="s">
        <v>1212</v>
      </c>
      <c r="F61" s="70" t="s">
        <v>742</v>
      </c>
      <c r="G61" s="296">
        <v>1</v>
      </c>
      <c r="H61" s="17"/>
      <c r="I61" s="17"/>
    </row>
    <row r="62" spans="1:9" s="8" customFormat="1">
      <c r="A62" s="289">
        <f t="shared" si="0"/>
        <v>49</v>
      </c>
      <c r="B62" s="290"/>
      <c r="C62" s="297" t="s">
        <v>893</v>
      </c>
      <c r="D62" s="298" t="s">
        <v>894</v>
      </c>
      <c r="E62" s="299" t="s">
        <v>1210</v>
      </c>
      <c r="F62" s="70" t="s">
        <v>742</v>
      </c>
      <c r="G62" s="296">
        <v>1</v>
      </c>
      <c r="H62" s="17"/>
      <c r="I62" s="17"/>
    </row>
    <row r="63" spans="1:9" s="8" customFormat="1">
      <c r="A63" s="289">
        <f t="shared" si="0"/>
        <v>50</v>
      </c>
      <c r="B63" s="290"/>
      <c r="C63" s="297" t="s">
        <v>893</v>
      </c>
      <c r="D63" s="298" t="s">
        <v>895</v>
      </c>
      <c r="E63" s="299" t="s">
        <v>1210</v>
      </c>
      <c r="F63" s="70" t="s">
        <v>742</v>
      </c>
      <c r="G63" s="296">
        <v>1</v>
      </c>
      <c r="H63" s="17"/>
      <c r="I63" s="17"/>
    </row>
    <row r="64" spans="1:9" s="8" customFormat="1">
      <c r="A64" s="289">
        <f t="shared" si="0"/>
        <v>51</v>
      </c>
      <c r="B64" s="290"/>
      <c r="C64" s="297" t="s">
        <v>896</v>
      </c>
      <c r="D64" s="298" t="s">
        <v>897</v>
      </c>
      <c r="E64" s="299" t="s">
        <v>1210</v>
      </c>
      <c r="F64" s="70" t="s">
        <v>742</v>
      </c>
      <c r="G64" s="296">
        <v>4</v>
      </c>
      <c r="H64" s="17"/>
      <c r="I64" s="17"/>
    </row>
    <row r="65" spans="1:9" s="8" customFormat="1">
      <c r="A65" s="289">
        <f t="shared" si="0"/>
        <v>52</v>
      </c>
      <c r="B65" s="290"/>
      <c r="C65" s="297" t="s">
        <v>896</v>
      </c>
      <c r="D65" s="298" t="s">
        <v>898</v>
      </c>
      <c r="E65" s="299" t="s">
        <v>1210</v>
      </c>
      <c r="F65" s="70" t="s">
        <v>742</v>
      </c>
      <c r="G65" s="296">
        <v>4</v>
      </c>
      <c r="H65" s="17"/>
      <c r="I65" s="17"/>
    </row>
    <row r="66" spans="1:9" s="8" customFormat="1">
      <c r="A66" s="289">
        <f t="shared" si="0"/>
        <v>53</v>
      </c>
      <c r="B66" s="290"/>
      <c r="C66" s="297" t="s">
        <v>899</v>
      </c>
      <c r="D66" s="298" t="s">
        <v>900</v>
      </c>
      <c r="E66" s="299" t="s">
        <v>1216</v>
      </c>
      <c r="F66" s="70" t="s">
        <v>742</v>
      </c>
      <c r="G66" s="305">
        <v>4</v>
      </c>
      <c r="H66" s="17"/>
      <c r="I66" s="17"/>
    </row>
    <row r="67" spans="1:9" s="8" customFormat="1">
      <c r="A67" s="289">
        <f t="shared" si="0"/>
        <v>54</v>
      </c>
      <c r="B67" s="290"/>
      <c r="C67" s="297" t="s">
        <v>901</v>
      </c>
      <c r="D67" s="298" t="s">
        <v>902</v>
      </c>
      <c r="E67" s="299" t="s">
        <v>1217</v>
      </c>
      <c r="F67" s="70" t="s">
        <v>742</v>
      </c>
      <c r="G67" s="296">
        <v>1</v>
      </c>
      <c r="H67" s="17"/>
      <c r="I67" s="17"/>
    </row>
    <row r="68" spans="1:9" s="8" customFormat="1">
      <c r="A68" s="289">
        <f t="shared" si="0"/>
        <v>55</v>
      </c>
      <c r="B68" s="290"/>
      <c r="C68" s="297" t="s">
        <v>903</v>
      </c>
      <c r="D68" s="298" t="s">
        <v>904</v>
      </c>
      <c r="E68" s="299"/>
      <c r="F68" s="70" t="s">
        <v>7</v>
      </c>
      <c r="G68" s="296">
        <v>10</v>
      </c>
      <c r="H68" s="17"/>
      <c r="I68" s="17"/>
    </row>
    <row r="69" spans="1:9" s="8" customFormat="1">
      <c r="A69" s="289">
        <f t="shared" si="0"/>
        <v>56</v>
      </c>
      <c r="B69" s="290"/>
      <c r="C69" s="297" t="s">
        <v>905</v>
      </c>
      <c r="D69" s="298" t="s">
        <v>906</v>
      </c>
      <c r="E69" s="299" t="s">
        <v>1217</v>
      </c>
      <c r="F69" s="70" t="s">
        <v>9</v>
      </c>
      <c r="G69" s="296">
        <v>34</v>
      </c>
      <c r="H69" s="17"/>
      <c r="I69" s="17"/>
    </row>
    <row r="70" spans="1:9" s="18" customFormat="1">
      <c r="A70" s="300">
        <f t="shared" si="0"/>
        <v>57</v>
      </c>
      <c r="B70" s="301"/>
      <c r="C70" s="302" t="s">
        <v>907</v>
      </c>
      <c r="D70" s="303" t="s">
        <v>908</v>
      </c>
      <c r="E70" s="304" t="s">
        <v>1217</v>
      </c>
      <c r="F70" s="272" t="s">
        <v>742</v>
      </c>
      <c r="G70" s="305">
        <v>2</v>
      </c>
      <c r="H70" s="17"/>
      <c r="I70" s="17"/>
    </row>
    <row r="71" spans="1:9" s="18" customFormat="1">
      <c r="A71" s="300">
        <f t="shared" si="0"/>
        <v>58</v>
      </c>
      <c r="B71" s="301"/>
      <c r="C71" s="302" t="s">
        <v>909</v>
      </c>
      <c r="D71" s="303" t="s">
        <v>910</v>
      </c>
      <c r="E71" s="304" t="s">
        <v>1218</v>
      </c>
      <c r="F71" s="272" t="s">
        <v>7</v>
      </c>
      <c r="G71" s="305">
        <v>20</v>
      </c>
      <c r="H71" s="17"/>
      <c r="I71" s="17"/>
    </row>
    <row r="72" spans="1:9" s="18" customFormat="1">
      <c r="A72" s="300">
        <f>A71+1</f>
        <v>59</v>
      </c>
      <c r="B72" s="301"/>
      <c r="C72" s="302" t="s">
        <v>911</v>
      </c>
      <c r="D72" s="303" t="s">
        <v>912</v>
      </c>
      <c r="E72" s="304" t="s">
        <v>1219</v>
      </c>
      <c r="F72" s="272" t="s">
        <v>7</v>
      </c>
      <c r="G72" s="305">
        <v>102</v>
      </c>
      <c r="H72" s="17"/>
      <c r="I72" s="17"/>
    </row>
    <row r="73" spans="1:9" s="18" customFormat="1">
      <c r="A73" s="300">
        <f>A72+1</f>
        <v>60</v>
      </c>
      <c r="B73" s="301"/>
      <c r="C73" s="302" t="s">
        <v>911</v>
      </c>
      <c r="D73" s="303" t="s">
        <v>904</v>
      </c>
      <c r="E73" s="304" t="s">
        <v>1219</v>
      </c>
      <c r="F73" s="272" t="s">
        <v>7</v>
      </c>
      <c r="G73" s="305">
        <v>68</v>
      </c>
      <c r="H73" s="181"/>
      <c r="I73" s="17"/>
    </row>
    <row r="74" spans="1:9" s="8" customFormat="1">
      <c r="A74" s="289">
        <f>A73+1</f>
        <v>61</v>
      </c>
      <c r="B74" s="290"/>
      <c r="C74" s="297" t="s">
        <v>913</v>
      </c>
      <c r="D74" s="298"/>
      <c r="E74" s="299"/>
      <c r="F74" s="70" t="s">
        <v>740</v>
      </c>
      <c r="G74" s="296">
        <v>1</v>
      </c>
      <c r="H74" s="17"/>
      <c r="I74" s="17"/>
    </row>
    <row r="75" spans="1:9" s="8" customFormat="1">
      <c r="A75" s="289">
        <f t="shared" si="0"/>
        <v>62</v>
      </c>
      <c r="B75" s="290"/>
      <c r="C75" s="297" t="s">
        <v>914</v>
      </c>
      <c r="D75" s="298" t="s">
        <v>805</v>
      </c>
      <c r="E75" s="299"/>
      <c r="F75" s="70" t="s">
        <v>742</v>
      </c>
      <c r="G75" s="296">
        <v>1</v>
      </c>
      <c r="H75" s="17"/>
      <c r="I75" s="17"/>
    </row>
    <row r="76" spans="1:9" s="8" customFormat="1">
      <c r="A76" s="289">
        <f t="shared" si="0"/>
        <v>63</v>
      </c>
      <c r="B76" s="290"/>
      <c r="C76" s="297" t="s">
        <v>778</v>
      </c>
      <c r="D76" s="298"/>
      <c r="E76" s="299"/>
      <c r="F76" s="70" t="s">
        <v>740</v>
      </c>
      <c r="G76" s="296">
        <v>1</v>
      </c>
      <c r="H76" s="17"/>
      <c r="I76" s="17"/>
    </row>
    <row r="77" spans="1:9" s="8" customFormat="1">
      <c r="A77" s="289">
        <f t="shared" si="0"/>
        <v>64</v>
      </c>
      <c r="B77" s="290"/>
      <c r="C77" s="297" t="s">
        <v>915</v>
      </c>
      <c r="D77" s="298"/>
      <c r="E77" s="299"/>
      <c r="F77" s="70" t="s">
        <v>740</v>
      </c>
      <c r="G77" s="296">
        <v>1</v>
      </c>
      <c r="H77" s="17"/>
      <c r="I77" s="17"/>
    </row>
    <row r="78" spans="1:9" s="8" customFormat="1">
      <c r="A78" s="289">
        <f t="shared" si="0"/>
        <v>65</v>
      </c>
      <c r="B78" s="290"/>
      <c r="C78" s="297" t="s">
        <v>916</v>
      </c>
      <c r="D78" s="298"/>
      <c r="E78" s="299"/>
      <c r="F78" s="70" t="s">
        <v>740</v>
      </c>
      <c r="G78" s="296">
        <v>1</v>
      </c>
      <c r="H78" s="17"/>
      <c r="I78" s="17"/>
    </row>
    <row r="79" spans="1:9" s="8" customFormat="1">
      <c r="A79" s="289">
        <f t="shared" si="0"/>
        <v>66</v>
      </c>
      <c r="B79" s="290"/>
      <c r="C79" s="297" t="s">
        <v>826</v>
      </c>
      <c r="D79" s="298"/>
      <c r="E79" s="299"/>
      <c r="F79" s="70" t="s">
        <v>740</v>
      </c>
      <c r="G79" s="296">
        <v>1</v>
      </c>
      <c r="H79" s="17"/>
      <c r="I79" s="17"/>
    </row>
    <row r="80" spans="1:9" s="8" customFormat="1">
      <c r="A80" s="289">
        <f t="shared" si="0"/>
        <v>67</v>
      </c>
      <c r="B80" s="290"/>
      <c r="C80" s="297" t="s">
        <v>780</v>
      </c>
      <c r="D80" s="298"/>
      <c r="E80" s="299"/>
      <c r="F80" s="70" t="s">
        <v>740</v>
      </c>
      <c r="G80" s="296">
        <v>1</v>
      </c>
      <c r="H80" s="17"/>
      <c r="I80" s="17"/>
    </row>
    <row r="81" spans="1:9" s="8" customFormat="1">
      <c r="A81" s="306">
        <f t="shared" si="0"/>
        <v>68</v>
      </c>
      <c r="B81" s="307"/>
      <c r="C81" s="308" t="s">
        <v>210</v>
      </c>
      <c r="D81" s="309"/>
      <c r="E81" s="310"/>
      <c r="F81" s="243" t="s">
        <v>740</v>
      </c>
      <c r="G81" s="311">
        <v>1</v>
      </c>
      <c r="H81" s="17"/>
      <c r="I81" s="17"/>
    </row>
    <row r="82" spans="1:9" s="8" customFormat="1" ht="51" customHeight="1">
      <c r="A82" s="288"/>
      <c r="B82" s="288"/>
      <c r="C82" s="361" t="s">
        <v>917</v>
      </c>
      <c r="D82" s="362"/>
      <c r="E82" s="362"/>
      <c r="F82" s="362"/>
      <c r="G82" s="363"/>
      <c r="H82" s="17"/>
      <c r="I82" s="17"/>
    </row>
    <row r="83" spans="1:9" s="8" customFormat="1">
      <c r="A83" s="289">
        <f>A81+1</f>
        <v>69</v>
      </c>
      <c r="B83" s="290"/>
      <c r="C83" s="312" t="s">
        <v>918</v>
      </c>
      <c r="D83" s="313" t="s">
        <v>919</v>
      </c>
      <c r="E83" s="314" t="s">
        <v>1200</v>
      </c>
      <c r="F83" s="244" t="s">
        <v>740</v>
      </c>
      <c r="G83" s="292">
        <v>1</v>
      </c>
      <c r="H83" s="17"/>
      <c r="I83" s="17"/>
    </row>
    <row r="84" spans="1:9" s="8" customFormat="1">
      <c r="A84" s="289">
        <f t="shared" ref="A84:A95" si="1">A83+1</f>
        <v>70</v>
      </c>
      <c r="B84" s="290"/>
      <c r="C84" s="297" t="s">
        <v>918</v>
      </c>
      <c r="D84" s="298" t="s">
        <v>920</v>
      </c>
      <c r="E84" s="299" t="s">
        <v>1200</v>
      </c>
      <c r="F84" s="70" t="s">
        <v>740</v>
      </c>
      <c r="G84" s="296">
        <v>1</v>
      </c>
      <c r="H84" s="17"/>
      <c r="I84" s="17"/>
    </row>
    <row r="85" spans="1:9" s="8" customFormat="1">
      <c r="A85" s="289">
        <f t="shared" si="1"/>
        <v>71</v>
      </c>
      <c r="B85" s="290"/>
      <c r="C85" s="297" t="s">
        <v>921</v>
      </c>
      <c r="D85" s="298" t="s">
        <v>922</v>
      </c>
      <c r="E85" s="299"/>
      <c r="F85" s="70" t="s">
        <v>735</v>
      </c>
      <c r="G85" s="296">
        <v>13</v>
      </c>
      <c r="H85" s="17"/>
      <c r="I85" s="17"/>
    </row>
    <row r="86" spans="1:9" s="8" customFormat="1">
      <c r="A86" s="289">
        <f t="shared" si="1"/>
        <v>72</v>
      </c>
      <c r="B86" s="290"/>
      <c r="C86" s="297" t="s">
        <v>921</v>
      </c>
      <c r="D86" s="298" t="s">
        <v>923</v>
      </c>
      <c r="E86" s="299"/>
      <c r="F86" s="70" t="s">
        <v>735</v>
      </c>
      <c r="G86" s="296">
        <v>13</v>
      </c>
      <c r="H86" s="17"/>
      <c r="I86" s="17"/>
    </row>
    <row r="87" spans="1:9" s="8" customFormat="1">
      <c r="A87" s="289">
        <f t="shared" si="1"/>
        <v>73</v>
      </c>
      <c r="B87" s="290"/>
      <c r="C87" s="297" t="s">
        <v>921</v>
      </c>
      <c r="D87" s="298" t="s">
        <v>924</v>
      </c>
      <c r="E87" s="299"/>
      <c r="F87" s="70" t="s">
        <v>735</v>
      </c>
      <c r="G87" s="296">
        <v>23</v>
      </c>
      <c r="H87" s="17"/>
      <c r="I87" s="17"/>
    </row>
    <row r="88" spans="1:9" s="8" customFormat="1">
      <c r="A88" s="289">
        <f t="shared" si="1"/>
        <v>74</v>
      </c>
      <c r="B88" s="290"/>
      <c r="C88" s="297" t="s">
        <v>921</v>
      </c>
      <c r="D88" s="298" t="s">
        <v>925</v>
      </c>
      <c r="E88" s="299"/>
      <c r="F88" s="70" t="s">
        <v>735</v>
      </c>
      <c r="G88" s="296">
        <v>23</v>
      </c>
      <c r="H88" s="17"/>
      <c r="I88" s="17"/>
    </row>
    <row r="89" spans="1:9" s="8" customFormat="1">
      <c r="A89" s="289">
        <f t="shared" si="1"/>
        <v>75</v>
      </c>
      <c r="B89" s="290"/>
      <c r="C89" s="297" t="s">
        <v>739</v>
      </c>
      <c r="D89" s="298"/>
      <c r="E89" s="299"/>
      <c r="F89" s="70" t="s">
        <v>740</v>
      </c>
      <c r="G89" s="296">
        <v>1</v>
      </c>
      <c r="H89" s="17"/>
      <c r="I89" s="17"/>
    </row>
    <row r="90" spans="1:9" s="8" customFormat="1">
      <c r="A90" s="289">
        <f t="shared" si="1"/>
        <v>76</v>
      </c>
      <c r="B90" s="290"/>
      <c r="C90" s="297" t="s">
        <v>926</v>
      </c>
      <c r="D90" s="298"/>
      <c r="E90" s="299"/>
      <c r="F90" s="70" t="s">
        <v>735</v>
      </c>
      <c r="G90" s="296">
        <v>72</v>
      </c>
      <c r="H90" s="17"/>
      <c r="I90" s="17"/>
    </row>
    <row r="91" spans="1:9" s="8" customFormat="1">
      <c r="A91" s="289">
        <f t="shared" si="1"/>
        <v>77</v>
      </c>
      <c r="B91" s="290"/>
      <c r="C91" s="297" t="s">
        <v>826</v>
      </c>
      <c r="D91" s="298"/>
      <c r="E91" s="299"/>
      <c r="F91" s="70" t="s">
        <v>740</v>
      </c>
      <c r="G91" s="296">
        <v>1</v>
      </c>
      <c r="H91" s="17"/>
      <c r="I91" s="17"/>
    </row>
    <row r="92" spans="1:9" s="8" customFormat="1">
      <c r="A92" s="289">
        <f t="shared" si="1"/>
        <v>78</v>
      </c>
      <c r="B92" s="290"/>
      <c r="C92" s="297" t="s">
        <v>778</v>
      </c>
      <c r="D92" s="298"/>
      <c r="E92" s="299"/>
      <c r="F92" s="70" t="s">
        <v>740</v>
      </c>
      <c r="G92" s="296">
        <v>1</v>
      </c>
      <c r="H92" s="17"/>
      <c r="I92" s="17"/>
    </row>
    <row r="93" spans="1:9" s="8" customFormat="1">
      <c r="A93" s="289">
        <f t="shared" si="1"/>
        <v>79</v>
      </c>
      <c r="B93" s="290"/>
      <c r="C93" s="297" t="s">
        <v>779</v>
      </c>
      <c r="D93" s="298"/>
      <c r="E93" s="299"/>
      <c r="F93" s="70" t="s">
        <v>740</v>
      </c>
      <c r="G93" s="296">
        <v>1</v>
      </c>
      <c r="H93" s="17"/>
      <c r="I93" s="17"/>
    </row>
    <row r="94" spans="1:9" s="8" customFormat="1">
      <c r="A94" s="289">
        <f t="shared" si="1"/>
        <v>80</v>
      </c>
      <c r="B94" s="290"/>
      <c r="C94" s="297" t="s">
        <v>780</v>
      </c>
      <c r="D94" s="298"/>
      <c r="E94" s="299"/>
      <c r="F94" s="70" t="s">
        <v>740</v>
      </c>
      <c r="G94" s="296">
        <v>1</v>
      </c>
      <c r="H94" s="17"/>
      <c r="I94" s="17"/>
    </row>
    <row r="95" spans="1:9" s="8" customFormat="1">
      <c r="A95" s="289">
        <f t="shared" si="1"/>
        <v>81</v>
      </c>
      <c r="B95" s="290"/>
      <c r="C95" s="297" t="s">
        <v>210</v>
      </c>
      <c r="D95" s="298"/>
      <c r="E95" s="299"/>
      <c r="F95" s="70" t="s">
        <v>740</v>
      </c>
      <c r="G95" s="296">
        <v>1</v>
      </c>
      <c r="H95" s="17"/>
      <c r="I95" s="17"/>
    </row>
    <row r="96" spans="1:9" s="3" customFormat="1" ht="12.75" customHeight="1">
      <c r="A96" s="36"/>
      <c r="B96" s="36"/>
      <c r="C96" s="352" t="s">
        <v>1094</v>
      </c>
      <c r="D96" s="353"/>
      <c r="E96" s="354"/>
      <c r="F96" s="315"/>
      <c r="G96" s="316"/>
      <c r="H96" s="2"/>
    </row>
    <row r="97" spans="1:7" s="21" customFormat="1">
      <c r="A97" s="19"/>
      <c r="B97" s="19"/>
      <c r="C97" s="20"/>
      <c r="D97" s="241"/>
      <c r="E97" s="241"/>
    </row>
    <row r="98" spans="1:7">
      <c r="A98" s="22"/>
      <c r="B98" s="6"/>
      <c r="C98" s="20"/>
      <c r="D98" s="20"/>
      <c r="E98" s="255"/>
      <c r="F98" s="216"/>
      <c r="G98" s="215"/>
    </row>
    <row r="99" spans="1:7">
      <c r="A99" s="331" t="s">
        <v>14</v>
      </c>
      <c r="B99" s="331"/>
      <c r="C99" s="275" t="s">
        <v>1082</v>
      </c>
      <c r="D99" s="20"/>
      <c r="E99" s="255"/>
      <c r="F99" s="218"/>
      <c r="G99" s="217"/>
    </row>
    <row r="100" spans="1:7">
      <c r="B100" s="6"/>
      <c r="C100" s="74" t="s">
        <v>15</v>
      </c>
      <c r="D100" s="20"/>
      <c r="E100" s="255"/>
      <c r="F100" s="220"/>
      <c r="G100" s="217"/>
    </row>
    <row r="101" spans="1:7">
      <c r="B101" s="6"/>
      <c r="C101" s="238" t="s">
        <v>21</v>
      </c>
      <c r="D101" s="20"/>
      <c r="E101" s="255"/>
      <c r="F101" s="215"/>
      <c r="G101" s="215"/>
    </row>
    <row r="102" spans="1:7">
      <c r="B102" s="6"/>
      <c r="C102" s="6" t="s">
        <v>1086</v>
      </c>
      <c r="D102" s="20"/>
      <c r="E102" s="255"/>
      <c r="F102" s="215"/>
      <c r="G102" s="215"/>
    </row>
  </sheetData>
  <mergeCells count="10">
    <mergeCell ref="A1:G1"/>
    <mergeCell ref="A2:G2"/>
    <mergeCell ref="A99:B99"/>
    <mergeCell ref="B11:B12"/>
    <mergeCell ref="C96:E96"/>
    <mergeCell ref="F11:F12"/>
    <mergeCell ref="G11:G12"/>
    <mergeCell ref="C11:E12"/>
    <mergeCell ref="A11:A12"/>
    <mergeCell ref="C82:G8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view="pageBreakPreview" topLeftCell="A19" zoomScaleNormal="232" zoomScaleSheetLayoutView="100" workbookViewId="0">
      <selection sqref="A1:E1"/>
    </sheetView>
  </sheetViews>
  <sheetFormatPr defaultColWidth="5.5703125" defaultRowHeight="12.75"/>
  <cols>
    <col min="1" max="2" width="6.42578125" style="25" customWidth="1"/>
    <col min="3" max="3" width="38.7109375" style="25" customWidth="1"/>
    <col min="4" max="4" width="6.42578125" style="25" customWidth="1"/>
    <col min="5" max="5" width="10.5703125" style="25" customWidth="1"/>
    <col min="6" max="6" width="5.7109375" style="23" customWidth="1"/>
    <col min="7" max="7" width="23.85546875" style="23" customWidth="1"/>
    <col min="8" max="8" width="6.7109375" style="25" customWidth="1"/>
    <col min="9" max="16384" width="5.5703125" style="25"/>
  </cols>
  <sheetData>
    <row r="1" spans="1:8" s="3" customFormat="1">
      <c r="A1" s="332" t="s">
        <v>1095</v>
      </c>
      <c r="B1" s="332"/>
      <c r="C1" s="332"/>
      <c r="D1" s="332"/>
      <c r="E1" s="332"/>
      <c r="F1" s="1"/>
      <c r="G1" s="2"/>
    </row>
    <row r="2" spans="1:8" s="3" customFormat="1">
      <c r="A2" s="333" t="s">
        <v>23</v>
      </c>
      <c r="B2" s="333"/>
      <c r="C2" s="333"/>
      <c r="D2" s="333"/>
      <c r="E2" s="333"/>
      <c r="F2" s="2"/>
      <c r="G2" s="2"/>
    </row>
    <row r="3" spans="1:8" s="3" customFormat="1">
      <c r="A3" s="285"/>
      <c r="B3" s="285"/>
      <c r="C3" s="285"/>
      <c r="D3" s="285"/>
      <c r="E3" s="285"/>
      <c r="F3" s="2"/>
      <c r="G3" s="2"/>
    </row>
    <row r="4" spans="1:8" s="3" customFormat="1">
      <c r="A4" s="4" t="s">
        <v>19</v>
      </c>
      <c r="B4" s="4"/>
      <c r="C4" s="2"/>
      <c r="D4" s="5"/>
      <c r="E4" s="5"/>
      <c r="F4" s="2"/>
      <c r="G4" s="2"/>
    </row>
    <row r="5" spans="1:8" s="3" customFormat="1">
      <c r="A5" s="4" t="s">
        <v>13</v>
      </c>
      <c r="B5" s="4"/>
      <c r="C5" s="2"/>
      <c r="D5" s="5"/>
      <c r="E5" s="5"/>
      <c r="F5" s="2"/>
      <c r="G5" s="2"/>
    </row>
    <row r="6" spans="1:8" s="3" customFormat="1">
      <c r="A6" s="4" t="s">
        <v>18</v>
      </c>
      <c r="B6" s="4"/>
      <c r="C6" s="2"/>
      <c r="D6" s="5"/>
      <c r="E6" s="5"/>
      <c r="F6" s="2"/>
      <c r="G6" s="2"/>
    </row>
    <row r="7" spans="1:8" s="3" customFormat="1">
      <c r="A7" s="4" t="s">
        <v>1083</v>
      </c>
      <c r="B7" s="4"/>
      <c r="C7" s="2"/>
      <c r="D7" s="5"/>
      <c r="E7" s="5"/>
      <c r="F7" s="2"/>
      <c r="G7" s="2"/>
    </row>
    <row r="8" spans="1:8" s="3" customFormat="1">
      <c r="A8" s="3" t="s">
        <v>12</v>
      </c>
      <c r="B8" s="4"/>
      <c r="C8" s="2"/>
      <c r="D8" s="5"/>
      <c r="E8" s="5"/>
      <c r="F8" s="2"/>
      <c r="G8" s="2"/>
    </row>
    <row r="9" spans="1:8" s="3" customFormat="1">
      <c r="A9" s="3" t="s">
        <v>17</v>
      </c>
      <c r="C9" s="6"/>
      <c r="D9" s="5"/>
      <c r="F9" s="2"/>
      <c r="G9" s="2"/>
    </row>
    <row r="10" spans="1:8" s="3" customFormat="1">
      <c r="C10" s="6"/>
      <c r="D10" s="5"/>
      <c r="F10" s="2"/>
      <c r="G10" s="2"/>
    </row>
    <row r="11" spans="1:8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6" t="s">
        <v>2</v>
      </c>
      <c r="F11" s="2"/>
      <c r="G11" s="2"/>
    </row>
    <row r="12" spans="1:8" s="3" customFormat="1" ht="55.5" customHeight="1">
      <c r="A12" s="335"/>
      <c r="B12" s="335"/>
      <c r="C12" s="335"/>
      <c r="D12" s="335"/>
      <c r="E12" s="336"/>
      <c r="F12" s="2"/>
      <c r="G12" s="2"/>
    </row>
    <row r="13" spans="1:8" s="140" customFormat="1" ht="25.5">
      <c r="A13" s="76"/>
      <c r="B13" s="76" t="s">
        <v>374</v>
      </c>
      <c r="C13" s="77" t="s">
        <v>224</v>
      </c>
      <c r="D13" s="139"/>
      <c r="E13" s="80"/>
      <c r="F13" s="48"/>
      <c r="G13" s="48"/>
    </row>
    <row r="14" spans="1:8" s="14" customFormat="1" ht="25.5">
      <c r="A14" s="7">
        <v>1</v>
      </c>
      <c r="B14" s="7" t="s">
        <v>84</v>
      </c>
      <c r="C14" s="114" t="s">
        <v>225</v>
      </c>
      <c r="D14" s="124" t="s">
        <v>8</v>
      </c>
      <c r="E14" s="137">
        <v>1</v>
      </c>
      <c r="F14" s="48"/>
      <c r="G14" s="48"/>
      <c r="H14" s="48"/>
    </row>
    <row r="15" spans="1:8" s="14" customFormat="1">
      <c r="A15" s="51">
        <f>A14+1</f>
        <v>2</v>
      </c>
      <c r="B15" s="51" t="s">
        <v>84</v>
      </c>
      <c r="C15" s="113" t="s">
        <v>226</v>
      </c>
      <c r="D15" s="94" t="s">
        <v>222</v>
      </c>
      <c r="E15" s="134">
        <v>1</v>
      </c>
      <c r="F15" s="48"/>
      <c r="G15" s="48"/>
      <c r="H15" s="48"/>
    </row>
    <row r="16" spans="1:8" s="14" customFormat="1" ht="25.5">
      <c r="A16" s="76"/>
      <c r="B16" s="76" t="s">
        <v>374</v>
      </c>
      <c r="C16" s="77" t="s">
        <v>227</v>
      </c>
      <c r="D16" s="80"/>
      <c r="E16" s="135"/>
      <c r="F16" s="48"/>
      <c r="G16" s="48"/>
      <c r="H16" s="48"/>
    </row>
    <row r="17" spans="1:8" s="140" customFormat="1">
      <c r="A17" s="60">
        <f>A15+1</f>
        <v>3</v>
      </c>
      <c r="B17" s="60" t="s">
        <v>84</v>
      </c>
      <c r="C17" s="125" t="s">
        <v>1052</v>
      </c>
      <c r="D17" s="62" t="s">
        <v>90</v>
      </c>
      <c r="E17" s="131">
        <v>173</v>
      </c>
      <c r="F17" s="48"/>
      <c r="G17" s="269"/>
      <c r="H17" s="48"/>
    </row>
    <row r="18" spans="1:8" s="14" customFormat="1">
      <c r="A18" s="7">
        <f>A17+1</f>
        <v>4</v>
      </c>
      <c r="B18" s="31" t="s">
        <v>84</v>
      </c>
      <c r="C18" s="115" t="s">
        <v>1084</v>
      </c>
      <c r="D18" s="116" t="s">
        <v>90</v>
      </c>
      <c r="E18" s="138">
        <v>1</v>
      </c>
      <c r="F18" s="48"/>
      <c r="G18" s="48"/>
      <c r="H18" s="48"/>
    </row>
    <row r="19" spans="1:8" s="14" customFormat="1" ht="25.5">
      <c r="A19" s="31">
        <f t="shared" ref="A19:A53" si="0">A18+1</f>
        <v>5</v>
      </c>
      <c r="B19" s="31" t="s">
        <v>84</v>
      </c>
      <c r="C19" s="115" t="s">
        <v>228</v>
      </c>
      <c r="D19" s="116" t="s">
        <v>90</v>
      </c>
      <c r="E19" s="138">
        <v>12</v>
      </c>
      <c r="F19" s="48"/>
      <c r="G19" s="48"/>
      <c r="H19" s="48"/>
    </row>
    <row r="20" spans="1:8" s="14" customFormat="1">
      <c r="A20" s="31">
        <f t="shared" si="0"/>
        <v>6</v>
      </c>
      <c r="B20" s="31" t="s">
        <v>84</v>
      </c>
      <c r="C20" s="115" t="s">
        <v>229</v>
      </c>
      <c r="D20" s="116" t="s">
        <v>90</v>
      </c>
      <c r="E20" s="132">
        <v>26</v>
      </c>
      <c r="F20" s="48"/>
      <c r="G20" s="48"/>
      <c r="H20" s="48"/>
    </row>
    <row r="21" spans="1:8" s="14" customFormat="1">
      <c r="A21" s="31">
        <f t="shared" si="0"/>
        <v>7</v>
      </c>
      <c r="B21" s="31" t="s">
        <v>84</v>
      </c>
      <c r="C21" s="115" t="s">
        <v>230</v>
      </c>
      <c r="D21" s="116" t="s">
        <v>90</v>
      </c>
      <c r="E21" s="132">
        <v>26</v>
      </c>
      <c r="F21" s="48"/>
      <c r="G21" s="48"/>
      <c r="H21" s="48"/>
    </row>
    <row r="22" spans="1:8" s="14" customFormat="1">
      <c r="A22" s="31">
        <f t="shared" si="0"/>
        <v>8</v>
      </c>
      <c r="B22" s="31" t="s">
        <v>84</v>
      </c>
      <c r="C22" s="115" t="s">
        <v>231</v>
      </c>
      <c r="D22" s="116" t="s">
        <v>90</v>
      </c>
      <c r="E22" s="132">
        <v>2</v>
      </c>
      <c r="F22" s="48"/>
      <c r="G22" s="48"/>
      <c r="H22" s="48"/>
    </row>
    <row r="23" spans="1:8" s="14" customFormat="1">
      <c r="A23" s="31">
        <f t="shared" si="0"/>
        <v>9</v>
      </c>
      <c r="B23" s="31" t="s">
        <v>84</v>
      </c>
      <c r="C23" s="115" t="s">
        <v>232</v>
      </c>
      <c r="D23" s="116" t="s">
        <v>90</v>
      </c>
      <c r="E23" s="132">
        <v>5</v>
      </c>
      <c r="F23" s="48"/>
      <c r="G23" s="48"/>
      <c r="H23" s="48"/>
    </row>
    <row r="24" spans="1:8" s="14" customFormat="1">
      <c r="A24" s="31">
        <f t="shared" si="0"/>
        <v>10</v>
      </c>
      <c r="B24" s="31" t="s">
        <v>84</v>
      </c>
      <c r="C24" s="115" t="s">
        <v>233</v>
      </c>
      <c r="D24" s="116" t="s">
        <v>90</v>
      </c>
      <c r="E24" s="132">
        <v>1</v>
      </c>
      <c r="F24" s="48"/>
      <c r="G24" s="48"/>
      <c r="H24" s="48"/>
    </row>
    <row r="25" spans="1:8" s="14" customFormat="1">
      <c r="A25" s="51">
        <f t="shared" si="0"/>
        <v>11</v>
      </c>
      <c r="B25" s="51" t="s">
        <v>84</v>
      </c>
      <c r="C25" s="126" t="s">
        <v>234</v>
      </c>
      <c r="D25" s="116" t="s">
        <v>90</v>
      </c>
      <c r="E25" s="134">
        <v>21</v>
      </c>
      <c r="F25" s="48"/>
      <c r="G25" s="48"/>
      <c r="H25" s="48"/>
    </row>
    <row r="26" spans="1:8" s="14" customFormat="1" ht="25.5">
      <c r="A26" s="76"/>
      <c r="B26" s="76" t="s">
        <v>374</v>
      </c>
      <c r="C26" s="77" t="s">
        <v>235</v>
      </c>
      <c r="D26" s="80"/>
      <c r="E26" s="135"/>
      <c r="F26" s="48"/>
      <c r="G26" s="48"/>
      <c r="H26" s="48"/>
    </row>
    <row r="27" spans="1:8" s="14" customFormat="1">
      <c r="A27" s="7">
        <f>A25+1</f>
        <v>12</v>
      </c>
      <c r="B27" s="7" t="s">
        <v>84</v>
      </c>
      <c r="C27" s="125" t="s">
        <v>236</v>
      </c>
      <c r="D27" s="62" t="s">
        <v>90</v>
      </c>
      <c r="E27" s="137">
        <v>88</v>
      </c>
      <c r="F27" s="48"/>
      <c r="G27" s="48"/>
      <c r="H27" s="48"/>
    </row>
    <row r="28" spans="1:8" s="14" customFormat="1">
      <c r="A28" s="31">
        <f t="shared" si="0"/>
        <v>13</v>
      </c>
      <c r="B28" s="31" t="s">
        <v>84</v>
      </c>
      <c r="C28" s="54" t="s">
        <v>237</v>
      </c>
      <c r="D28" s="16" t="s">
        <v>90</v>
      </c>
      <c r="E28" s="138">
        <v>1</v>
      </c>
      <c r="F28" s="48"/>
      <c r="G28" s="48"/>
      <c r="H28" s="48"/>
    </row>
    <row r="29" spans="1:8" s="14" customFormat="1">
      <c r="A29" s="31">
        <f t="shared" si="0"/>
        <v>14</v>
      </c>
      <c r="B29" s="31" t="s">
        <v>84</v>
      </c>
      <c r="C29" s="54" t="s">
        <v>238</v>
      </c>
      <c r="D29" s="16" t="s">
        <v>90</v>
      </c>
      <c r="E29" s="132">
        <v>8</v>
      </c>
      <c r="F29" s="48"/>
      <c r="G29" s="48"/>
      <c r="H29" s="48"/>
    </row>
    <row r="30" spans="1:8" s="14" customFormat="1">
      <c r="A30" s="51">
        <f t="shared" si="0"/>
        <v>15</v>
      </c>
      <c r="B30" s="51" t="s">
        <v>84</v>
      </c>
      <c r="C30" s="127" t="s">
        <v>239</v>
      </c>
      <c r="D30" s="16" t="s">
        <v>90</v>
      </c>
      <c r="E30" s="134">
        <v>15</v>
      </c>
      <c r="F30" s="48"/>
      <c r="G30" s="48"/>
      <c r="H30" s="48"/>
    </row>
    <row r="31" spans="1:8" s="140" customFormat="1">
      <c r="A31" s="150">
        <f t="shared" si="0"/>
        <v>16</v>
      </c>
      <c r="B31" s="270"/>
      <c r="C31" s="127" t="s">
        <v>1053</v>
      </c>
      <c r="D31" s="16" t="s">
        <v>90</v>
      </c>
      <c r="E31" s="271">
        <v>6</v>
      </c>
      <c r="F31" s="48"/>
      <c r="G31" s="48"/>
      <c r="H31" s="48"/>
    </row>
    <row r="32" spans="1:8" s="14" customFormat="1" ht="25.5">
      <c r="A32" s="76"/>
      <c r="B32" s="76" t="s">
        <v>374</v>
      </c>
      <c r="C32" s="77" t="s">
        <v>240</v>
      </c>
      <c r="D32" s="80"/>
      <c r="E32" s="135"/>
      <c r="F32" s="48"/>
      <c r="G32" s="48"/>
      <c r="H32" s="48"/>
    </row>
    <row r="33" spans="1:8" s="14" customFormat="1" ht="25.5">
      <c r="A33" s="7">
        <f>A31+1</f>
        <v>17</v>
      </c>
      <c r="B33" s="7" t="s">
        <v>84</v>
      </c>
      <c r="C33" s="125" t="s">
        <v>241</v>
      </c>
      <c r="D33" s="62" t="s">
        <v>9</v>
      </c>
      <c r="E33" s="137">
        <v>100</v>
      </c>
      <c r="F33" s="48"/>
      <c r="G33" s="48"/>
      <c r="H33" s="48"/>
    </row>
    <row r="34" spans="1:8" s="14" customFormat="1">
      <c r="A34" s="31">
        <f t="shared" si="0"/>
        <v>18</v>
      </c>
      <c r="B34" s="31" t="s">
        <v>84</v>
      </c>
      <c r="C34" s="54" t="s">
        <v>242</v>
      </c>
      <c r="D34" s="16" t="s">
        <v>9</v>
      </c>
      <c r="E34" s="138">
        <v>1000</v>
      </c>
      <c r="F34" s="48"/>
      <c r="G34" s="48"/>
      <c r="H34" s="48"/>
    </row>
    <row r="35" spans="1:8" s="14" customFormat="1">
      <c r="A35" s="31">
        <f t="shared" si="0"/>
        <v>19</v>
      </c>
      <c r="B35" s="31" t="s">
        <v>84</v>
      </c>
      <c r="C35" s="54" t="s">
        <v>243</v>
      </c>
      <c r="D35" s="16" t="s">
        <v>9</v>
      </c>
      <c r="E35" s="138">
        <v>750</v>
      </c>
      <c r="F35" s="48"/>
      <c r="G35" s="48"/>
      <c r="H35" s="48"/>
    </row>
    <row r="36" spans="1:8" s="14" customFormat="1">
      <c r="A36" s="31">
        <f t="shared" si="0"/>
        <v>20</v>
      </c>
      <c r="B36" s="31" t="s">
        <v>84</v>
      </c>
      <c r="C36" s="54" t="s">
        <v>244</v>
      </c>
      <c r="D36" s="16" t="s">
        <v>9</v>
      </c>
      <c r="E36" s="138">
        <v>100</v>
      </c>
      <c r="F36" s="48"/>
      <c r="G36" s="48"/>
      <c r="H36" s="48"/>
    </row>
    <row r="37" spans="1:8" s="14" customFormat="1">
      <c r="A37" s="31">
        <f t="shared" si="0"/>
        <v>21</v>
      </c>
      <c r="B37" s="31" t="s">
        <v>84</v>
      </c>
      <c r="C37" s="54" t="s">
        <v>245</v>
      </c>
      <c r="D37" s="16" t="s">
        <v>9</v>
      </c>
      <c r="E37" s="138">
        <v>100</v>
      </c>
      <c r="F37" s="48"/>
      <c r="G37" s="48"/>
      <c r="H37" s="48"/>
    </row>
    <row r="38" spans="1:8" s="14" customFormat="1">
      <c r="A38" s="31">
        <f t="shared" si="0"/>
        <v>22</v>
      </c>
      <c r="B38" s="31" t="s">
        <v>84</v>
      </c>
      <c r="C38" s="54" t="s">
        <v>246</v>
      </c>
      <c r="D38" s="16" t="s">
        <v>9</v>
      </c>
      <c r="E38" s="138">
        <v>100</v>
      </c>
      <c r="F38" s="48"/>
      <c r="G38" s="48"/>
      <c r="H38" s="48"/>
    </row>
    <row r="39" spans="1:8" s="14" customFormat="1">
      <c r="A39" s="31">
        <f t="shared" si="0"/>
        <v>23</v>
      </c>
      <c r="B39" s="31" t="s">
        <v>84</v>
      </c>
      <c r="C39" s="54" t="s">
        <v>247</v>
      </c>
      <c r="D39" s="16" t="s">
        <v>9</v>
      </c>
      <c r="E39" s="138">
        <v>25</v>
      </c>
      <c r="F39" s="48"/>
      <c r="G39" s="48"/>
      <c r="H39" s="48"/>
    </row>
    <row r="40" spans="1:8" s="140" customFormat="1">
      <c r="A40" s="42">
        <f t="shared" si="0"/>
        <v>24</v>
      </c>
      <c r="B40" s="42"/>
      <c r="C40" s="54" t="s">
        <v>1055</v>
      </c>
      <c r="D40" s="16" t="s">
        <v>9</v>
      </c>
      <c r="E40" s="138">
        <v>50</v>
      </c>
      <c r="F40" s="48"/>
      <c r="G40" s="48"/>
      <c r="H40" s="48"/>
    </row>
    <row r="41" spans="1:8" s="140" customFormat="1">
      <c r="A41" s="42">
        <f t="shared" si="0"/>
        <v>25</v>
      </c>
      <c r="B41" s="42"/>
      <c r="C41" s="54" t="s">
        <v>1054</v>
      </c>
      <c r="D41" s="16" t="s">
        <v>9</v>
      </c>
      <c r="E41" s="138">
        <v>50</v>
      </c>
      <c r="F41" s="48"/>
      <c r="G41" s="48"/>
      <c r="H41" s="48"/>
    </row>
    <row r="42" spans="1:8" s="14" customFormat="1">
      <c r="A42" s="31">
        <f t="shared" si="0"/>
        <v>26</v>
      </c>
      <c r="B42" s="31" t="s">
        <v>84</v>
      </c>
      <c r="C42" s="54" t="s">
        <v>248</v>
      </c>
      <c r="D42" s="16" t="s">
        <v>9</v>
      </c>
      <c r="E42" s="132">
        <v>500</v>
      </c>
      <c r="F42" s="48"/>
      <c r="G42" s="48"/>
      <c r="H42" s="48"/>
    </row>
    <row r="43" spans="1:8" s="14" customFormat="1">
      <c r="A43" s="31">
        <f t="shared" si="0"/>
        <v>27</v>
      </c>
      <c r="B43" s="31" t="s">
        <v>84</v>
      </c>
      <c r="C43" s="54" t="s">
        <v>249</v>
      </c>
      <c r="D43" s="16" t="s">
        <v>9</v>
      </c>
      <c r="E43" s="132">
        <v>250</v>
      </c>
      <c r="F43" s="48"/>
      <c r="G43" s="48"/>
      <c r="H43" s="48"/>
    </row>
    <row r="44" spans="1:8" s="14" customFormat="1">
      <c r="A44" s="31">
        <f t="shared" si="0"/>
        <v>28</v>
      </c>
      <c r="B44" s="31" t="s">
        <v>84</v>
      </c>
      <c r="C44" s="54" t="s">
        <v>250</v>
      </c>
      <c r="D44" s="16" t="s">
        <v>9</v>
      </c>
      <c r="E44" s="132">
        <v>20</v>
      </c>
      <c r="F44" s="48"/>
      <c r="G44" s="48"/>
      <c r="H44" s="48"/>
    </row>
    <row r="45" spans="1:8" s="14" customFormat="1">
      <c r="A45" s="31">
        <f t="shared" si="0"/>
        <v>29</v>
      </c>
      <c r="B45" s="31" t="s">
        <v>84</v>
      </c>
      <c r="C45" s="111" t="s">
        <v>251</v>
      </c>
      <c r="D45" s="16" t="s">
        <v>9</v>
      </c>
      <c r="E45" s="132">
        <v>1000</v>
      </c>
      <c r="F45" s="48"/>
      <c r="G45" s="48"/>
      <c r="H45" s="48"/>
    </row>
    <row r="46" spans="1:8" s="14" customFormat="1">
      <c r="A46" s="31">
        <f t="shared" si="0"/>
        <v>30</v>
      </c>
      <c r="B46" s="31" t="s">
        <v>84</v>
      </c>
      <c r="C46" s="111" t="s">
        <v>252</v>
      </c>
      <c r="D46" s="116" t="s">
        <v>9</v>
      </c>
      <c r="E46" s="138">
        <v>250</v>
      </c>
      <c r="F46" s="48"/>
      <c r="G46" s="48"/>
      <c r="H46" s="48"/>
    </row>
    <row r="47" spans="1:8" s="14" customFormat="1">
      <c r="A47" s="31">
        <f t="shared" si="0"/>
        <v>31</v>
      </c>
      <c r="B47" s="31" t="s">
        <v>84</v>
      </c>
      <c r="C47" s="111" t="s">
        <v>253</v>
      </c>
      <c r="D47" s="16" t="s">
        <v>8</v>
      </c>
      <c r="E47" s="132">
        <v>1</v>
      </c>
      <c r="F47" s="48"/>
      <c r="G47" s="48"/>
      <c r="H47" s="48"/>
    </row>
    <row r="48" spans="1:8" s="14" customFormat="1">
      <c r="A48" s="31">
        <f t="shared" si="0"/>
        <v>32</v>
      </c>
      <c r="B48" s="31" t="s">
        <v>84</v>
      </c>
      <c r="C48" s="54" t="s">
        <v>254</v>
      </c>
      <c r="D48" s="16" t="s">
        <v>8</v>
      </c>
      <c r="E48" s="132">
        <v>1</v>
      </c>
      <c r="F48" s="48"/>
      <c r="G48" s="48"/>
      <c r="H48" s="48"/>
    </row>
    <row r="49" spans="1:8" s="14" customFormat="1" ht="25.5">
      <c r="A49" s="31">
        <f t="shared" si="0"/>
        <v>33</v>
      </c>
      <c r="B49" s="31" t="s">
        <v>84</v>
      </c>
      <c r="C49" s="141" t="s">
        <v>255</v>
      </c>
      <c r="D49" s="142" t="s">
        <v>8</v>
      </c>
      <c r="E49" s="143">
        <v>1</v>
      </c>
      <c r="F49" s="48"/>
      <c r="G49" s="48"/>
      <c r="H49" s="48"/>
    </row>
    <row r="50" spans="1:8" s="14" customFormat="1" ht="25.5">
      <c r="A50" s="31">
        <f t="shared" si="0"/>
        <v>34</v>
      </c>
      <c r="B50" s="31" t="s">
        <v>84</v>
      </c>
      <c r="C50" s="15" t="s">
        <v>256</v>
      </c>
      <c r="D50" s="16" t="s">
        <v>8</v>
      </c>
      <c r="E50" s="132">
        <v>1</v>
      </c>
      <c r="F50" s="48"/>
      <c r="G50" s="48"/>
      <c r="H50" s="48"/>
    </row>
    <row r="51" spans="1:8" s="14" customFormat="1" ht="25.5">
      <c r="A51" s="31">
        <f t="shared" si="0"/>
        <v>35</v>
      </c>
      <c r="B51" s="31" t="s">
        <v>84</v>
      </c>
      <c r="C51" s="15" t="s">
        <v>257</v>
      </c>
      <c r="D51" s="16" t="s">
        <v>90</v>
      </c>
      <c r="E51" s="132">
        <v>300</v>
      </c>
      <c r="F51" s="48"/>
      <c r="G51" s="48"/>
      <c r="H51" s="48"/>
    </row>
    <row r="52" spans="1:8" s="14" customFormat="1" ht="25.5">
      <c r="A52" s="31">
        <f t="shared" si="0"/>
        <v>36</v>
      </c>
      <c r="B52" s="31" t="s">
        <v>84</v>
      </c>
      <c r="C52" s="15" t="s">
        <v>258</v>
      </c>
      <c r="D52" s="16" t="s">
        <v>90</v>
      </c>
      <c r="E52" s="132">
        <v>100</v>
      </c>
      <c r="F52" s="48"/>
      <c r="G52" s="48"/>
      <c r="H52" s="48"/>
    </row>
    <row r="53" spans="1:8" s="14" customFormat="1" ht="25.5">
      <c r="A53" s="31">
        <f t="shared" si="0"/>
        <v>37</v>
      </c>
      <c r="B53" s="33" t="s">
        <v>84</v>
      </c>
      <c r="C53" s="56" t="s">
        <v>259</v>
      </c>
      <c r="D53" s="59" t="s">
        <v>90</v>
      </c>
      <c r="E53" s="133">
        <v>100</v>
      </c>
      <c r="F53" s="48"/>
      <c r="G53" s="48"/>
      <c r="H53" s="48"/>
    </row>
    <row r="54" spans="1:8" s="45" customFormat="1">
      <c r="A54" s="283"/>
      <c r="B54" s="283"/>
      <c r="C54" s="37" t="s">
        <v>1094</v>
      </c>
      <c r="D54" s="38"/>
      <c r="E54" s="39"/>
      <c r="F54" s="44"/>
      <c r="G54" s="44"/>
    </row>
    <row r="55" spans="1:8" s="21" customFormat="1">
      <c r="A55" s="19"/>
      <c r="B55" s="19"/>
      <c r="C55" s="20"/>
    </row>
    <row r="56" spans="1:8" s="3" customFormat="1">
      <c r="A56" s="22"/>
      <c r="B56" s="6"/>
      <c r="C56" s="20"/>
      <c r="D56" s="20"/>
      <c r="E56" s="255"/>
      <c r="F56" s="216"/>
      <c r="G56" s="215"/>
    </row>
    <row r="57" spans="1:8">
      <c r="A57" s="331" t="s">
        <v>14</v>
      </c>
      <c r="B57" s="331"/>
      <c r="C57" s="275" t="s">
        <v>1082</v>
      </c>
      <c r="D57" s="20"/>
      <c r="E57" s="255"/>
      <c r="F57" s="218"/>
      <c r="G57" s="217"/>
    </row>
    <row r="58" spans="1:8">
      <c r="B58" s="6"/>
      <c r="C58" s="74" t="s">
        <v>15</v>
      </c>
      <c r="D58" s="20"/>
      <c r="E58" s="255"/>
      <c r="F58" s="220"/>
      <c r="G58" s="217"/>
    </row>
    <row r="59" spans="1:8">
      <c r="B59" s="6"/>
      <c r="C59" s="238" t="s">
        <v>21</v>
      </c>
      <c r="D59" s="20"/>
      <c r="E59" s="255"/>
      <c r="F59" s="215"/>
      <c r="G59" s="215"/>
    </row>
    <row r="60" spans="1:8">
      <c r="B60" s="6"/>
      <c r="C60" s="6" t="s">
        <v>1086</v>
      </c>
      <c r="D60" s="20"/>
      <c r="E60" s="255"/>
      <c r="F60" s="215"/>
      <c r="G60" s="215"/>
    </row>
  </sheetData>
  <mergeCells count="8">
    <mergeCell ref="A1:E1"/>
    <mergeCell ref="A2:E2"/>
    <mergeCell ref="A57:B57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8"/>
  <sheetViews>
    <sheetView view="pageBreakPreview" topLeftCell="A56" zoomScaleNormal="268" zoomScaleSheetLayoutView="100" workbookViewId="0">
      <selection activeCell="C86" sqref="C86"/>
    </sheetView>
  </sheetViews>
  <sheetFormatPr defaultColWidth="5.5703125" defaultRowHeight="12.75"/>
  <cols>
    <col min="1" max="2" width="6.42578125" style="25" customWidth="1"/>
    <col min="3" max="3" width="40.42578125" style="25" customWidth="1"/>
    <col min="4" max="4" width="6.42578125" style="25" customWidth="1"/>
    <col min="5" max="5" width="10.85546875" style="25" customWidth="1"/>
    <col min="6" max="6" width="5.7109375" style="23" customWidth="1"/>
    <col min="7" max="7" width="5.5703125" style="23"/>
    <col min="8" max="8" width="6.7109375" style="25" customWidth="1"/>
    <col min="9" max="16384" width="5.5703125" style="25"/>
  </cols>
  <sheetData>
    <row r="1" spans="1:8" s="3" customFormat="1">
      <c r="A1" s="332" t="s">
        <v>1096</v>
      </c>
      <c r="B1" s="332"/>
      <c r="C1" s="332"/>
      <c r="D1" s="332"/>
      <c r="E1" s="332"/>
      <c r="F1" s="1"/>
      <c r="G1" s="2"/>
    </row>
    <row r="2" spans="1:8" s="3" customFormat="1">
      <c r="A2" s="333" t="s">
        <v>24</v>
      </c>
      <c r="B2" s="333"/>
      <c r="C2" s="333"/>
      <c r="D2" s="333"/>
      <c r="E2" s="333"/>
      <c r="F2" s="2"/>
      <c r="G2" s="2"/>
    </row>
    <row r="3" spans="1:8" s="3" customFormat="1">
      <c r="A3" s="276"/>
      <c r="B3" s="276"/>
      <c r="C3" s="276"/>
      <c r="D3" s="276"/>
      <c r="E3" s="276"/>
      <c r="F3" s="2"/>
      <c r="G3" s="2"/>
    </row>
    <row r="4" spans="1:8" s="3" customFormat="1">
      <c r="A4" s="4" t="s">
        <v>19</v>
      </c>
      <c r="B4" s="4"/>
      <c r="C4" s="2"/>
      <c r="D4" s="5"/>
      <c r="E4" s="5"/>
      <c r="F4" s="2"/>
      <c r="G4" s="2"/>
    </row>
    <row r="5" spans="1:8" s="3" customFormat="1">
      <c r="A5" s="4" t="s">
        <v>13</v>
      </c>
      <c r="B5" s="4"/>
      <c r="C5" s="2"/>
      <c r="D5" s="5"/>
      <c r="E5" s="5"/>
      <c r="F5" s="2"/>
      <c r="G5" s="2"/>
    </row>
    <row r="6" spans="1:8" s="3" customFormat="1">
      <c r="A6" s="4" t="s">
        <v>18</v>
      </c>
      <c r="B6" s="4"/>
      <c r="C6" s="2"/>
      <c r="D6" s="5"/>
      <c r="E6" s="5"/>
      <c r="F6" s="2"/>
      <c r="G6" s="2"/>
    </row>
    <row r="7" spans="1:8" s="3" customFormat="1">
      <c r="A7" s="4" t="s">
        <v>1083</v>
      </c>
      <c r="B7" s="4"/>
      <c r="C7" s="2"/>
      <c r="D7" s="5"/>
      <c r="E7" s="5"/>
      <c r="F7" s="2"/>
      <c r="G7" s="2"/>
    </row>
    <row r="8" spans="1:8" s="3" customFormat="1">
      <c r="A8" s="3" t="s">
        <v>12</v>
      </c>
      <c r="B8" s="4"/>
      <c r="C8" s="2"/>
      <c r="D8" s="5"/>
      <c r="E8" s="5"/>
      <c r="F8" s="2"/>
      <c r="G8" s="2"/>
    </row>
    <row r="9" spans="1:8" s="3" customFormat="1">
      <c r="A9" s="3" t="s">
        <v>17</v>
      </c>
      <c r="C9" s="6"/>
      <c r="D9" s="5"/>
      <c r="F9" s="2"/>
      <c r="G9" s="2"/>
    </row>
    <row r="10" spans="1:8" s="3" customFormat="1">
      <c r="C10" s="6"/>
      <c r="D10" s="5"/>
      <c r="F10" s="2"/>
      <c r="G10" s="2"/>
    </row>
    <row r="11" spans="1:8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6" t="s">
        <v>2</v>
      </c>
      <c r="F11" s="2"/>
      <c r="G11" s="2"/>
    </row>
    <row r="12" spans="1:8" s="3" customFormat="1" ht="55.5" customHeight="1">
      <c r="A12" s="335"/>
      <c r="B12" s="335"/>
      <c r="C12" s="335"/>
      <c r="D12" s="335"/>
      <c r="E12" s="336"/>
      <c r="F12" s="2"/>
      <c r="G12" s="2"/>
    </row>
    <row r="13" spans="1:8" s="140" customFormat="1" ht="25.5">
      <c r="A13" s="76"/>
      <c r="B13" s="76" t="s">
        <v>375</v>
      </c>
      <c r="C13" s="77" t="s">
        <v>314</v>
      </c>
      <c r="D13" s="80"/>
      <c r="E13" s="135"/>
      <c r="F13" s="48"/>
      <c r="G13" s="48"/>
    </row>
    <row r="14" spans="1:8" s="140" customFormat="1">
      <c r="A14" s="60">
        <f>A13+1</f>
        <v>1</v>
      </c>
      <c r="B14" s="60" t="s">
        <v>84</v>
      </c>
      <c r="C14" s="148" t="s">
        <v>260</v>
      </c>
      <c r="D14" s="149" t="s">
        <v>8</v>
      </c>
      <c r="E14" s="131">
        <v>1</v>
      </c>
      <c r="F14" s="48"/>
      <c r="G14" s="48"/>
    </row>
    <row r="15" spans="1:8" s="14" customFormat="1">
      <c r="A15" s="42">
        <f t="shared" ref="A15:A79" si="0">A14+1</f>
        <v>2</v>
      </c>
      <c r="B15" s="42" t="s">
        <v>84</v>
      </c>
      <c r="C15" s="145" t="s">
        <v>261</v>
      </c>
      <c r="D15" s="13" t="s">
        <v>8</v>
      </c>
      <c r="E15" s="132">
        <v>1</v>
      </c>
      <c r="F15" s="48"/>
      <c r="G15" s="48"/>
      <c r="H15" s="48"/>
    </row>
    <row r="16" spans="1:8" s="14" customFormat="1">
      <c r="A16" s="42">
        <f t="shared" si="0"/>
        <v>3</v>
      </c>
      <c r="B16" s="42" t="s">
        <v>84</v>
      </c>
      <c r="C16" s="145" t="s">
        <v>262</v>
      </c>
      <c r="D16" s="13" t="s">
        <v>222</v>
      </c>
      <c r="E16" s="132">
        <v>1</v>
      </c>
      <c r="F16" s="48"/>
      <c r="G16" s="48"/>
      <c r="H16" s="48"/>
    </row>
    <row r="17" spans="1:8" s="14" customFormat="1">
      <c r="A17" s="42">
        <f t="shared" si="0"/>
        <v>4</v>
      </c>
      <c r="B17" s="42" t="s">
        <v>84</v>
      </c>
      <c r="C17" s="145" t="s">
        <v>263</v>
      </c>
      <c r="D17" s="13" t="s">
        <v>222</v>
      </c>
      <c r="E17" s="132">
        <v>1</v>
      </c>
      <c r="F17" s="48"/>
      <c r="G17" s="48"/>
      <c r="H17" s="48"/>
    </row>
    <row r="18" spans="1:8" s="14" customFormat="1">
      <c r="A18" s="42">
        <f t="shared" si="0"/>
        <v>5</v>
      </c>
      <c r="B18" s="42" t="s">
        <v>84</v>
      </c>
      <c r="C18" s="145" t="s">
        <v>264</v>
      </c>
      <c r="D18" s="13" t="s">
        <v>222</v>
      </c>
      <c r="E18" s="132">
        <v>2</v>
      </c>
      <c r="F18" s="48"/>
      <c r="G18" s="48"/>
      <c r="H18" s="48"/>
    </row>
    <row r="19" spans="1:8" s="14" customFormat="1">
      <c r="A19" s="42">
        <f t="shared" si="0"/>
        <v>6</v>
      </c>
      <c r="B19" s="42" t="s">
        <v>84</v>
      </c>
      <c r="C19" s="145" t="s">
        <v>265</v>
      </c>
      <c r="D19" s="13" t="s">
        <v>222</v>
      </c>
      <c r="E19" s="132">
        <v>2</v>
      </c>
      <c r="F19" s="48"/>
      <c r="G19" s="48"/>
      <c r="H19" s="48"/>
    </row>
    <row r="20" spans="1:8" s="14" customFormat="1">
      <c r="A20" s="42">
        <f t="shared" si="0"/>
        <v>7</v>
      </c>
      <c r="B20" s="42" t="s">
        <v>84</v>
      </c>
      <c r="C20" s="145" t="s">
        <v>266</v>
      </c>
      <c r="D20" s="13" t="s">
        <v>222</v>
      </c>
      <c r="E20" s="132">
        <v>2</v>
      </c>
      <c r="F20" s="48"/>
      <c r="G20" s="48"/>
      <c r="H20" s="48"/>
    </row>
    <row r="21" spans="1:8" s="14" customFormat="1">
      <c r="A21" s="42">
        <f t="shared" si="0"/>
        <v>8</v>
      </c>
      <c r="B21" s="42" t="s">
        <v>84</v>
      </c>
      <c r="C21" s="145" t="s">
        <v>267</v>
      </c>
      <c r="D21" s="13" t="s">
        <v>222</v>
      </c>
      <c r="E21" s="132">
        <v>4</v>
      </c>
      <c r="F21" s="48"/>
      <c r="G21" s="48"/>
      <c r="H21" s="48"/>
    </row>
    <row r="22" spans="1:8" s="14" customFormat="1">
      <c r="A22" s="42">
        <f t="shared" si="0"/>
        <v>9</v>
      </c>
      <c r="B22" s="42" t="s">
        <v>84</v>
      </c>
      <c r="C22" s="145" t="s">
        <v>268</v>
      </c>
      <c r="D22" s="13" t="s">
        <v>222</v>
      </c>
      <c r="E22" s="132">
        <v>3</v>
      </c>
      <c r="F22" s="48"/>
      <c r="G22" s="48"/>
      <c r="H22" s="48"/>
    </row>
    <row r="23" spans="1:8" s="14" customFormat="1">
      <c r="A23" s="42">
        <f t="shared" si="0"/>
        <v>10</v>
      </c>
      <c r="B23" s="42" t="s">
        <v>84</v>
      </c>
      <c r="C23" s="145" t="s">
        <v>269</v>
      </c>
      <c r="D23" s="13" t="s">
        <v>222</v>
      </c>
      <c r="E23" s="132">
        <v>2</v>
      </c>
      <c r="F23" s="48"/>
      <c r="G23" s="48"/>
      <c r="H23" s="48"/>
    </row>
    <row r="24" spans="1:8" s="14" customFormat="1" ht="25.5">
      <c r="A24" s="42">
        <f t="shared" si="0"/>
        <v>11</v>
      </c>
      <c r="B24" s="42" t="s">
        <v>84</v>
      </c>
      <c r="C24" s="145" t="s">
        <v>270</v>
      </c>
      <c r="D24" s="13" t="s">
        <v>222</v>
      </c>
      <c r="E24" s="132">
        <v>1</v>
      </c>
      <c r="F24" s="48"/>
      <c r="G24" s="48"/>
      <c r="H24" s="48"/>
    </row>
    <row r="25" spans="1:8" s="14" customFormat="1" ht="25.5">
      <c r="A25" s="42">
        <f t="shared" si="0"/>
        <v>12</v>
      </c>
      <c r="B25" s="42" t="s">
        <v>84</v>
      </c>
      <c r="C25" s="145" t="s">
        <v>271</v>
      </c>
      <c r="D25" s="13" t="s">
        <v>222</v>
      </c>
      <c r="E25" s="132">
        <v>1</v>
      </c>
      <c r="F25" s="48"/>
      <c r="G25" s="48"/>
      <c r="H25" s="48"/>
    </row>
    <row r="26" spans="1:8" s="14" customFormat="1" ht="38.25">
      <c r="A26" s="42">
        <f t="shared" si="0"/>
        <v>13</v>
      </c>
      <c r="B26" s="42" t="s">
        <v>84</v>
      </c>
      <c r="C26" s="145" t="s">
        <v>293</v>
      </c>
      <c r="D26" s="13" t="s">
        <v>222</v>
      </c>
      <c r="E26" s="132">
        <v>3</v>
      </c>
      <c r="F26" s="48"/>
      <c r="G26" s="48"/>
      <c r="H26" s="48"/>
    </row>
    <row r="27" spans="1:8" s="14" customFormat="1" ht="25.5">
      <c r="A27" s="42">
        <f t="shared" si="0"/>
        <v>14</v>
      </c>
      <c r="B27" s="42" t="s">
        <v>84</v>
      </c>
      <c r="C27" s="145" t="s">
        <v>294</v>
      </c>
      <c r="D27" s="13" t="s">
        <v>222</v>
      </c>
      <c r="E27" s="132">
        <v>2</v>
      </c>
      <c r="F27" s="48"/>
      <c r="G27" s="48"/>
      <c r="H27" s="48"/>
    </row>
    <row r="28" spans="1:8" s="14" customFormat="1" ht="25.5">
      <c r="A28" s="42">
        <f t="shared" si="0"/>
        <v>15</v>
      </c>
      <c r="B28" s="42" t="s">
        <v>84</v>
      </c>
      <c r="C28" s="145" t="s">
        <v>295</v>
      </c>
      <c r="D28" s="13" t="s">
        <v>222</v>
      </c>
      <c r="E28" s="132">
        <v>20</v>
      </c>
      <c r="F28" s="48"/>
      <c r="G28" s="48"/>
      <c r="H28" s="48"/>
    </row>
    <row r="29" spans="1:8" s="14" customFormat="1" ht="38.25">
      <c r="A29" s="42">
        <f t="shared" si="0"/>
        <v>16</v>
      </c>
      <c r="B29" s="42" t="s">
        <v>84</v>
      </c>
      <c r="C29" s="145" t="s">
        <v>296</v>
      </c>
      <c r="D29" s="13" t="s">
        <v>222</v>
      </c>
      <c r="E29" s="132">
        <v>4</v>
      </c>
      <c r="F29" s="48"/>
      <c r="G29" s="48"/>
      <c r="H29" s="48"/>
    </row>
    <row r="30" spans="1:8" s="14" customFormat="1">
      <c r="A30" s="42">
        <f t="shared" si="0"/>
        <v>17</v>
      </c>
      <c r="B30" s="42" t="s">
        <v>84</v>
      </c>
      <c r="C30" s="145" t="s">
        <v>297</v>
      </c>
      <c r="D30" s="13" t="s">
        <v>222</v>
      </c>
      <c r="E30" s="132">
        <v>42</v>
      </c>
      <c r="F30" s="48"/>
      <c r="G30" s="48"/>
      <c r="H30" s="48"/>
    </row>
    <row r="31" spans="1:8" s="14" customFormat="1" ht="25.5">
      <c r="A31" s="42">
        <f t="shared" si="0"/>
        <v>18</v>
      </c>
      <c r="B31" s="42" t="s">
        <v>84</v>
      </c>
      <c r="C31" s="145" t="s">
        <v>298</v>
      </c>
      <c r="D31" s="13" t="s">
        <v>9</v>
      </c>
      <c r="E31" s="132">
        <v>1080</v>
      </c>
      <c r="F31" s="48"/>
      <c r="G31" s="48"/>
      <c r="H31" s="48"/>
    </row>
    <row r="32" spans="1:8" s="14" customFormat="1">
      <c r="A32" s="42">
        <f t="shared" si="0"/>
        <v>19</v>
      </c>
      <c r="B32" s="42" t="s">
        <v>84</v>
      </c>
      <c r="C32" s="145" t="s">
        <v>299</v>
      </c>
      <c r="D32" s="13" t="s">
        <v>9</v>
      </c>
      <c r="E32" s="132">
        <v>20</v>
      </c>
      <c r="F32" s="48"/>
      <c r="G32" s="48"/>
      <c r="H32" s="48"/>
    </row>
    <row r="33" spans="1:8" s="14" customFormat="1">
      <c r="A33" s="42">
        <f t="shared" si="0"/>
        <v>20</v>
      </c>
      <c r="B33" s="42" t="s">
        <v>84</v>
      </c>
      <c r="C33" s="145" t="s">
        <v>272</v>
      </c>
      <c r="D33" s="13" t="s">
        <v>273</v>
      </c>
      <c r="E33" s="132">
        <v>990</v>
      </c>
      <c r="F33" s="48"/>
      <c r="G33" s="48"/>
      <c r="H33" s="48"/>
    </row>
    <row r="34" spans="1:8" s="14" customFormat="1">
      <c r="A34" s="42">
        <f t="shared" si="0"/>
        <v>21</v>
      </c>
      <c r="B34" s="42" t="s">
        <v>84</v>
      </c>
      <c r="C34" s="145" t="s">
        <v>274</v>
      </c>
      <c r="D34" s="13" t="s">
        <v>273</v>
      </c>
      <c r="E34" s="132">
        <v>50</v>
      </c>
      <c r="F34" s="48"/>
      <c r="G34" s="48"/>
      <c r="H34" s="48"/>
    </row>
    <row r="35" spans="1:8" s="14" customFormat="1" ht="25.5">
      <c r="A35" s="42">
        <f t="shared" si="0"/>
        <v>22</v>
      </c>
      <c r="B35" s="42" t="s">
        <v>84</v>
      </c>
      <c r="C35" s="145" t="s">
        <v>275</v>
      </c>
      <c r="D35" s="13" t="s">
        <v>8</v>
      </c>
      <c r="E35" s="132">
        <v>1</v>
      </c>
      <c r="F35" s="48"/>
      <c r="G35" s="48"/>
      <c r="H35" s="48"/>
    </row>
    <row r="36" spans="1:8" s="14" customFormat="1">
      <c r="A36" s="42">
        <f t="shared" si="0"/>
        <v>23</v>
      </c>
      <c r="B36" s="42" t="s">
        <v>84</v>
      </c>
      <c r="C36" s="145" t="s">
        <v>276</v>
      </c>
      <c r="D36" s="13" t="s">
        <v>8</v>
      </c>
      <c r="E36" s="132">
        <v>1</v>
      </c>
      <c r="F36" s="48"/>
      <c r="G36" s="48"/>
      <c r="H36" s="48"/>
    </row>
    <row r="37" spans="1:8" s="14" customFormat="1">
      <c r="A37" s="42">
        <f t="shared" si="0"/>
        <v>24</v>
      </c>
      <c r="B37" s="42" t="s">
        <v>84</v>
      </c>
      <c r="C37" s="145" t="s">
        <v>277</v>
      </c>
      <c r="D37" s="13" t="s">
        <v>8</v>
      </c>
      <c r="E37" s="132">
        <v>1</v>
      </c>
      <c r="F37" s="48"/>
      <c r="G37" s="48"/>
      <c r="H37" s="48"/>
    </row>
    <row r="38" spans="1:8" s="14" customFormat="1" ht="38.25">
      <c r="A38" s="150">
        <f t="shared" si="0"/>
        <v>25</v>
      </c>
      <c r="B38" s="150" t="s">
        <v>84</v>
      </c>
      <c r="C38" s="151" t="s">
        <v>320</v>
      </c>
      <c r="D38" s="152" t="s">
        <v>8</v>
      </c>
      <c r="E38" s="134">
        <v>1</v>
      </c>
      <c r="F38" s="48"/>
      <c r="G38" s="48"/>
      <c r="H38" s="48"/>
    </row>
    <row r="39" spans="1:8" s="14" customFormat="1" ht="25.5">
      <c r="A39" s="76"/>
      <c r="B39" s="76" t="s">
        <v>375</v>
      </c>
      <c r="C39" s="157" t="s">
        <v>316</v>
      </c>
      <c r="D39" s="158"/>
      <c r="E39" s="163"/>
      <c r="F39" s="48"/>
      <c r="G39" s="48"/>
      <c r="H39" s="48"/>
    </row>
    <row r="40" spans="1:8" s="14" customFormat="1" ht="25.5">
      <c r="A40" s="60">
        <f>A38+1</f>
        <v>26</v>
      </c>
      <c r="B40" s="60" t="s">
        <v>84</v>
      </c>
      <c r="C40" s="148" t="s">
        <v>300</v>
      </c>
      <c r="D40" s="149" t="s">
        <v>90</v>
      </c>
      <c r="E40" s="131">
        <v>1</v>
      </c>
      <c r="F40" s="48"/>
      <c r="G40" s="48"/>
      <c r="H40" s="48"/>
    </row>
    <row r="41" spans="1:8" s="14" customFormat="1" ht="25.5">
      <c r="A41" s="42">
        <f t="shared" si="0"/>
        <v>27</v>
      </c>
      <c r="B41" s="42" t="s">
        <v>84</v>
      </c>
      <c r="C41" s="145" t="s">
        <v>301</v>
      </c>
      <c r="D41" s="13" t="s">
        <v>90</v>
      </c>
      <c r="E41" s="132">
        <v>1</v>
      </c>
      <c r="F41" s="48"/>
      <c r="G41" s="48"/>
      <c r="H41" s="48"/>
    </row>
    <row r="42" spans="1:8" s="14" customFormat="1" ht="25.5">
      <c r="A42" s="42">
        <f t="shared" si="0"/>
        <v>28</v>
      </c>
      <c r="B42" s="42" t="s">
        <v>84</v>
      </c>
      <c r="C42" s="145" t="s">
        <v>302</v>
      </c>
      <c r="D42" s="13" t="s">
        <v>90</v>
      </c>
      <c r="E42" s="132">
        <v>1</v>
      </c>
      <c r="F42" s="48"/>
      <c r="G42" s="48"/>
      <c r="H42" s="48"/>
    </row>
    <row r="43" spans="1:8" s="14" customFormat="1">
      <c r="A43" s="42">
        <f t="shared" si="0"/>
        <v>29</v>
      </c>
      <c r="B43" s="42" t="s">
        <v>84</v>
      </c>
      <c r="C43" s="145" t="s">
        <v>278</v>
      </c>
      <c r="D43" s="13" t="s">
        <v>9</v>
      </c>
      <c r="E43" s="132">
        <v>30</v>
      </c>
      <c r="F43" s="48"/>
      <c r="G43" s="48"/>
      <c r="H43" s="48"/>
    </row>
    <row r="44" spans="1:8" s="14" customFormat="1">
      <c r="A44" s="42">
        <f t="shared" si="0"/>
        <v>30</v>
      </c>
      <c r="B44" s="42" t="s">
        <v>84</v>
      </c>
      <c r="C44" s="145" t="s">
        <v>272</v>
      </c>
      <c r="D44" s="13" t="s">
        <v>9</v>
      </c>
      <c r="E44" s="132">
        <v>20</v>
      </c>
      <c r="F44" s="48"/>
      <c r="G44" s="48"/>
      <c r="H44" s="48"/>
    </row>
    <row r="45" spans="1:8" s="14" customFormat="1" ht="38.25">
      <c r="A45" s="150">
        <f t="shared" si="0"/>
        <v>31</v>
      </c>
      <c r="B45" s="150" t="s">
        <v>84</v>
      </c>
      <c r="C45" s="151" t="s">
        <v>320</v>
      </c>
      <c r="D45" s="152" t="s">
        <v>8</v>
      </c>
      <c r="E45" s="134">
        <v>1</v>
      </c>
      <c r="F45" s="48"/>
      <c r="G45" s="48"/>
      <c r="H45" s="48"/>
    </row>
    <row r="46" spans="1:8" s="14" customFormat="1" ht="25.5">
      <c r="A46" s="76"/>
      <c r="B46" s="76" t="s">
        <v>375</v>
      </c>
      <c r="C46" s="157" t="s">
        <v>317</v>
      </c>
      <c r="D46" s="158"/>
      <c r="E46" s="163"/>
      <c r="F46" s="48"/>
      <c r="G46" s="48"/>
      <c r="H46" s="48"/>
    </row>
    <row r="47" spans="1:8" s="140" customFormat="1" ht="25.5">
      <c r="A47" s="60">
        <f>A45+1</f>
        <v>32</v>
      </c>
      <c r="B47" s="60" t="s">
        <v>84</v>
      </c>
      <c r="C47" s="273" t="s">
        <v>1056</v>
      </c>
      <c r="D47" s="62" t="s">
        <v>222</v>
      </c>
      <c r="E47" s="131">
        <v>1</v>
      </c>
      <c r="F47" s="48"/>
      <c r="G47" s="48"/>
      <c r="H47" s="48"/>
    </row>
    <row r="48" spans="1:8" s="140" customFormat="1">
      <c r="A48" s="60">
        <f>A47+1</f>
        <v>33</v>
      </c>
      <c r="B48" s="60"/>
      <c r="C48" s="273" t="s">
        <v>1057</v>
      </c>
      <c r="D48" s="62" t="s">
        <v>222</v>
      </c>
      <c r="E48" s="131">
        <v>1</v>
      </c>
      <c r="F48" s="48"/>
      <c r="G48" s="48"/>
      <c r="H48" s="48"/>
    </row>
    <row r="49" spans="1:8" s="14" customFormat="1" ht="38.25">
      <c r="A49" s="60">
        <f>A48+1</f>
        <v>34</v>
      </c>
      <c r="B49" s="42" t="s">
        <v>84</v>
      </c>
      <c r="C49" s="145" t="s">
        <v>310</v>
      </c>
      <c r="D49" s="13" t="s">
        <v>222</v>
      </c>
      <c r="E49" s="132">
        <v>5</v>
      </c>
      <c r="F49" s="48"/>
      <c r="G49" s="48"/>
      <c r="H49" s="48"/>
    </row>
    <row r="50" spans="1:8" s="14" customFormat="1" ht="38.25">
      <c r="A50" s="42">
        <f t="shared" si="0"/>
        <v>35</v>
      </c>
      <c r="B50" s="42" t="s">
        <v>84</v>
      </c>
      <c r="C50" s="145" t="s">
        <v>311</v>
      </c>
      <c r="D50" s="13" t="s">
        <v>222</v>
      </c>
      <c r="E50" s="132">
        <v>5</v>
      </c>
      <c r="F50" s="48"/>
      <c r="G50" s="48"/>
      <c r="H50" s="48"/>
    </row>
    <row r="51" spans="1:8" s="14" customFormat="1">
      <c r="A51" s="42">
        <f t="shared" si="0"/>
        <v>36</v>
      </c>
      <c r="B51" s="42" t="s">
        <v>84</v>
      </c>
      <c r="C51" s="145" t="s">
        <v>279</v>
      </c>
      <c r="D51" s="13" t="s">
        <v>222</v>
      </c>
      <c r="E51" s="132">
        <v>22</v>
      </c>
      <c r="F51" s="48"/>
      <c r="G51" s="48"/>
      <c r="H51" s="48"/>
    </row>
    <row r="52" spans="1:8" s="14" customFormat="1" ht="25.5">
      <c r="A52" s="42">
        <f t="shared" si="0"/>
        <v>37</v>
      </c>
      <c r="B52" s="42" t="s">
        <v>84</v>
      </c>
      <c r="C52" s="145" t="s">
        <v>369</v>
      </c>
      <c r="D52" s="13" t="s">
        <v>222</v>
      </c>
      <c r="E52" s="132">
        <v>1</v>
      </c>
      <c r="F52" s="48"/>
      <c r="G52" s="48"/>
      <c r="H52" s="48"/>
    </row>
    <row r="53" spans="1:8" s="14" customFormat="1" ht="25.5">
      <c r="A53" s="42">
        <f t="shared" si="0"/>
        <v>38</v>
      </c>
      <c r="B53" s="42" t="s">
        <v>84</v>
      </c>
      <c r="C53" s="145" t="s">
        <v>368</v>
      </c>
      <c r="D53" s="13" t="s">
        <v>222</v>
      </c>
      <c r="E53" s="132">
        <v>2</v>
      </c>
      <c r="F53" s="48"/>
      <c r="G53" s="48"/>
      <c r="H53" s="48"/>
    </row>
    <row r="54" spans="1:8" s="14" customFormat="1">
      <c r="A54" s="42">
        <f t="shared" si="0"/>
        <v>39</v>
      </c>
      <c r="B54" s="42" t="s">
        <v>84</v>
      </c>
      <c r="C54" s="145" t="s">
        <v>280</v>
      </c>
      <c r="D54" s="13" t="s">
        <v>9</v>
      </c>
      <c r="E54" s="132">
        <v>320</v>
      </c>
      <c r="F54" s="48"/>
      <c r="G54" s="48"/>
      <c r="H54" s="48"/>
    </row>
    <row r="55" spans="1:8" s="14" customFormat="1">
      <c r="A55" s="42">
        <f t="shared" si="0"/>
        <v>40</v>
      </c>
      <c r="B55" s="42" t="s">
        <v>84</v>
      </c>
      <c r="C55" s="145" t="s">
        <v>272</v>
      </c>
      <c r="D55" s="13" t="s">
        <v>9</v>
      </c>
      <c r="E55" s="132">
        <v>290</v>
      </c>
      <c r="F55" s="48"/>
      <c r="G55" s="48"/>
      <c r="H55" s="48"/>
    </row>
    <row r="56" spans="1:8" s="14" customFormat="1" ht="38.25">
      <c r="A56" s="150">
        <f t="shared" si="0"/>
        <v>41</v>
      </c>
      <c r="B56" s="150" t="s">
        <v>84</v>
      </c>
      <c r="C56" s="151" t="s">
        <v>320</v>
      </c>
      <c r="D56" s="152" t="s">
        <v>8</v>
      </c>
      <c r="E56" s="134">
        <v>1</v>
      </c>
      <c r="F56" s="48"/>
      <c r="G56" s="48"/>
      <c r="H56" s="48"/>
    </row>
    <row r="57" spans="1:8" s="14" customFormat="1" ht="25.5">
      <c r="A57" s="76"/>
      <c r="B57" s="76" t="s">
        <v>375</v>
      </c>
      <c r="C57" s="157" t="s">
        <v>318</v>
      </c>
      <c r="D57" s="158"/>
      <c r="E57" s="163"/>
      <c r="F57" s="48"/>
      <c r="G57" s="48"/>
      <c r="H57" s="48"/>
    </row>
    <row r="58" spans="1:8" s="14" customFormat="1" ht="25.5">
      <c r="A58" s="60">
        <f>A56+1</f>
        <v>42</v>
      </c>
      <c r="B58" s="60" t="s">
        <v>84</v>
      </c>
      <c r="C58" s="148" t="s">
        <v>312</v>
      </c>
      <c r="D58" s="149" t="s">
        <v>222</v>
      </c>
      <c r="E58" s="131">
        <v>1</v>
      </c>
      <c r="F58" s="48"/>
      <c r="G58" s="48"/>
      <c r="H58" s="48"/>
    </row>
    <row r="59" spans="1:8" s="14" customFormat="1" ht="25.5">
      <c r="A59" s="42">
        <f t="shared" si="0"/>
        <v>43</v>
      </c>
      <c r="B59" s="42" t="s">
        <v>84</v>
      </c>
      <c r="C59" s="145" t="s">
        <v>313</v>
      </c>
      <c r="D59" s="13" t="s">
        <v>222</v>
      </c>
      <c r="E59" s="132">
        <v>12</v>
      </c>
      <c r="F59" s="48"/>
      <c r="G59" s="48"/>
      <c r="H59" s="48"/>
    </row>
    <row r="60" spans="1:8" s="14" customFormat="1" ht="38.25">
      <c r="A60" s="42">
        <f t="shared" si="0"/>
        <v>44</v>
      </c>
      <c r="B60" s="42" t="s">
        <v>84</v>
      </c>
      <c r="C60" s="145" t="s">
        <v>303</v>
      </c>
      <c r="D60" s="13" t="s">
        <v>222</v>
      </c>
      <c r="E60" s="132">
        <v>2</v>
      </c>
      <c r="F60" s="48"/>
      <c r="G60" s="48"/>
      <c r="H60" s="48"/>
    </row>
    <row r="61" spans="1:8" s="14" customFormat="1" ht="38.25">
      <c r="A61" s="42">
        <f t="shared" si="0"/>
        <v>45</v>
      </c>
      <c r="B61" s="42" t="s">
        <v>84</v>
      </c>
      <c r="C61" s="145" t="s">
        <v>304</v>
      </c>
      <c r="D61" s="13" t="s">
        <v>222</v>
      </c>
      <c r="E61" s="132">
        <v>1</v>
      </c>
      <c r="F61" s="48"/>
      <c r="G61" s="48"/>
      <c r="H61" s="48"/>
    </row>
    <row r="62" spans="1:8" s="14" customFormat="1">
      <c r="A62" s="42">
        <f t="shared" si="0"/>
        <v>46</v>
      </c>
      <c r="B62" s="42" t="s">
        <v>84</v>
      </c>
      <c r="C62" s="145" t="s">
        <v>305</v>
      </c>
      <c r="D62" s="13" t="s">
        <v>222</v>
      </c>
      <c r="E62" s="132">
        <v>1</v>
      </c>
      <c r="F62" s="48"/>
      <c r="G62" s="48"/>
      <c r="H62" s="48"/>
    </row>
    <row r="63" spans="1:8" s="14" customFormat="1" ht="25.5">
      <c r="A63" s="42">
        <f t="shared" si="0"/>
        <v>47</v>
      </c>
      <c r="B63" s="42" t="s">
        <v>84</v>
      </c>
      <c r="C63" s="145" t="s">
        <v>1220</v>
      </c>
      <c r="D63" s="13" t="s">
        <v>222</v>
      </c>
      <c r="E63" s="132">
        <v>20</v>
      </c>
      <c r="F63" s="48"/>
      <c r="G63" s="48"/>
      <c r="H63" s="48"/>
    </row>
    <row r="64" spans="1:8" s="14" customFormat="1">
      <c r="A64" s="42">
        <f t="shared" si="0"/>
        <v>48</v>
      </c>
      <c r="B64" s="42" t="s">
        <v>84</v>
      </c>
      <c r="C64" s="145" t="s">
        <v>281</v>
      </c>
      <c r="D64" s="13" t="s">
        <v>222</v>
      </c>
      <c r="E64" s="132">
        <v>12</v>
      </c>
      <c r="F64" s="48"/>
      <c r="G64" s="48"/>
      <c r="H64" s="48"/>
    </row>
    <row r="65" spans="1:8" s="140" customFormat="1">
      <c r="A65" s="42">
        <f t="shared" si="0"/>
        <v>49</v>
      </c>
      <c r="B65" s="42" t="s">
        <v>84</v>
      </c>
      <c r="C65" s="258" t="s">
        <v>282</v>
      </c>
      <c r="D65" s="16" t="s">
        <v>222</v>
      </c>
      <c r="E65" s="132">
        <v>12</v>
      </c>
      <c r="F65" s="48"/>
      <c r="G65" s="48"/>
      <c r="H65" s="48"/>
    </row>
    <row r="66" spans="1:8" s="14" customFormat="1" ht="25.5">
      <c r="A66" s="42">
        <f t="shared" si="0"/>
        <v>50</v>
      </c>
      <c r="B66" s="42" t="s">
        <v>84</v>
      </c>
      <c r="C66" s="145" t="s">
        <v>309</v>
      </c>
      <c r="D66" s="13" t="s">
        <v>222</v>
      </c>
      <c r="E66" s="132">
        <v>20</v>
      </c>
      <c r="F66" s="48"/>
      <c r="G66" s="48"/>
      <c r="H66" s="48"/>
    </row>
    <row r="67" spans="1:8" s="14" customFormat="1" ht="25.5">
      <c r="A67" s="42">
        <f t="shared" si="0"/>
        <v>51</v>
      </c>
      <c r="B67" s="42" t="s">
        <v>84</v>
      </c>
      <c r="C67" s="145" t="s">
        <v>1221</v>
      </c>
      <c r="D67" s="13" t="s">
        <v>222</v>
      </c>
      <c r="E67" s="146">
        <v>3</v>
      </c>
      <c r="F67" s="48"/>
      <c r="G67" s="48"/>
      <c r="H67" s="48"/>
    </row>
    <row r="68" spans="1:8" s="14" customFormat="1">
      <c r="A68" s="42">
        <f t="shared" si="0"/>
        <v>52</v>
      </c>
      <c r="B68" s="42" t="s">
        <v>84</v>
      </c>
      <c r="C68" s="145" t="s">
        <v>283</v>
      </c>
      <c r="D68" s="13" t="s">
        <v>222</v>
      </c>
      <c r="E68" s="146">
        <v>2</v>
      </c>
      <c r="F68" s="48"/>
      <c r="G68" s="48"/>
      <c r="H68" s="48"/>
    </row>
    <row r="69" spans="1:8" s="14" customFormat="1">
      <c r="A69" s="42">
        <f t="shared" si="0"/>
        <v>53</v>
      </c>
      <c r="B69" s="42" t="s">
        <v>84</v>
      </c>
      <c r="C69" s="145" t="s">
        <v>284</v>
      </c>
      <c r="D69" s="13" t="s">
        <v>273</v>
      </c>
      <c r="E69" s="132">
        <v>260</v>
      </c>
      <c r="F69" s="48"/>
      <c r="G69" s="48"/>
      <c r="H69" s="48"/>
    </row>
    <row r="70" spans="1:8" s="14" customFormat="1">
      <c r="A70" s="42">
        <f t="shared" si="0"/>
        <v>54</v>
      </c>
      <c r="B70" s="42" t="s">
        <v>84</v>
      </c>
      <c r="C70" s="145" t="s">
        <v>285</v>
      </c>
      <c r="D70" s="13" t="s">
        <v>273</v>
      </c>
      <c r="E70" s="132">
        <v>530</v>
      </c>
      <c r="F70" s="48"/>
      <c r="G70" s="48"/>
      <c r="H70" s="48"/>
    </row>
    <row r="71" spans="1:8" s="14" customFormat="1">
      <c r="A71" s="42">
        <f t="shared" si="0"/>
        <v>55</v>
      </c>
      <c r="B71" s="42" t="s">
        <v>84</v>
      </c>
      <c r="C71" s="145" t="s">
        <v>286</v>
      </c>
      <c r="D71" s="13" t="s">
        <v>273</v>
      </c>
      <c r="E71" s="132">
        <v>50</v>
      </c>
      <c r="F71" s="48"/>
      <c r="G71" s="48"/>
      <c r="H71" s="48"/>
    </row>
    <row r="72" spans="1:8" s="14" customFormat="1" ht="15.75">
      <c r="A72" s="42">
        <f t="shared" si="0"/>
        <v>56</v>
      </c>
      <c r="B72" s="42" t="s">
        <v>84</v>
      </c>
      <c r="C72" s="145" t="s">
        <v>315</v>
      </c>
      <c r="D72" s="13" t="s">
        <v>9</v>
      </c>
      <c r="E72" s="132">
        <v>50</v>
      </c>
      <c r="F72" s="48"/>
      <c r="G72" s="48"/>
      <c r="H72" s="48"/>
    </row>
    <row r="73" spans="1:8" s="14" customFormat="1">
      <c r="A73" s="42">
        <f t="shared" si="0"/>
        <v>57</v>
      </c>
      <c r="B73" s="42" t="s">
        <v>84</v>
      </c>
      <c r="C73" s="145" t="s">
        <v>287</v>
      </c>
      <c r="D73" s="13" t="s">
        <v>8</v>
      </c>
      <c r="E73" s="132">
        <v>1</v>
      </c>
      <c r="F73" s="48"/>
      <c r="G73" s="48"/>
      <c r="H73" s="48"/>
    </row>
    <row r="74" spans="1:8" s="14" customFormat="1">
      <c r="A74" s="42">
        <f t="shared" si="0"/>
        <v>58</v>
      </c>
      <c r="B74" s="42" t="s">
        <v>84</v>
      </c>
      <c r="C74" s="145" t="s">
        <v>307</v>
      </c>
      <c r="D74" s="13" t="s">
        <v>90</v>
      </c>
      <c r="E74" s="132">
        <v>6</v>
      </c>
      <c r="F74" s="48"/>
      <c r="G74" s="48"/>
      <c r="H74" s="48"/>
    </row>
    <row r="75" spans="1:8" s="14" customFormat="1" ht="25.5">
      <c r="A75" s="42">
        <f t="shared" si="0"/>
        <v>59</v>
      </c>
      <c r="B75" s="42" t="s">
        <v>84</v>
      </c>
      <c r="C75" s="145" t="s">
        <v>308</v>
      </c>
      <c r="D75" s="13" t="s">
        <v>90</v>
      </c>
      <c r="E75" s="132">
        <v>11</v>
      </c>
      <c r="F75" s="48"/>
      <c r="G75" s="48"/>
      <c r="H75" s="48"/>
    </row>
    <row r="76" spans="1:8" s="14" customFormat="1">
      <c r="A76" s="42">
        <f t="shared" si="0"/>
        <v>60</v>
      </c>
      <c r="B76" s="42" t="s">
        <v>84</v>
      </c>
      <c r="C76" s="145" t="s">
        <v>288</v>
      </c>
      <c r="D76" s="13" t="s">
        <v>8</v>
      </c>
      <c r="E76" s="132">
        <v>1</v>
      </c>
      <c r="F76" s="48"/>
      <c r="G76" s="48"/>
      <c r="H76" s="48"/>
    </row>
    <row r="77" spans="1:8" s="14" customFormat="1">
      <c r="A77" s="42">
        <f t="shared" si="0"/>
        <v>61</v>
      </c>
      <c r="B77" s="42" t="s">
        <v>84</v>
      </c>
      <c r="C77" s="145" t="s">
        <v>289</v>
      </c>
      <c r="D77" s="13" t="s">
        <v>90</v>
      </c>
      <c r="E77" s="132">
        <v>1</v>
      </c>
      <c r="F77" s="48"/>
      <c r="G77" s="48"/>
      <c r="H77" s="48"/>
    </row>
    <row r="78" spans="1:8" s="14" customFormat="1">
      <c r="A78" s="42">
        <f t="shared" si="0"/>
        <v>62</v>
      </c>
      <c r="B78" s="42" t="s">
        <v>84</v>
      </c>
      <c r="C78" s="145" t="s">
        <v>272</v>
      </c>
      <c r="D78" s="13" t="s">
        <v>273</v>
      </c>
      <c r="E78" s="132">
        <v>690</v>
      </c>
      <c r="F78" s="48"/>
      <c r="G78" s="48"/>
      <c r="H78" s="48"/>
    </row>
    <row r="79" spans="1:8" s="14" customFormat="1" ht="38.25">
      <c r="A79" s="150">
        <f t="shared" si="0"/>
        <v>63</v>
      </c>
      <c r="B79" s="150" t="s">
        <v>84</v>
      </c>
      <c r="C79" s="151" t="s">
        <v>320</v>
      </c>
      <c r="D79" s="152" t="s">
        <v>8</v>
      </c>
      <c r="E79" s="134">
        <v>1</v>
      </c>
      <c r="F79" s="48"/>
      <c r="G79" s="48"/>
      <c r="H79" s="48"/>
    </row>
    <row r="80" spans="1:8" s="14" customFormat="1" ht="25.5">
      <c r="A80" s="76"/>
      <c r="B80" s="76" t="s">
        <v>375</v>
      </c>
      <c r="C80" s="157" t="s">
        <v>319</v>
      </c>
      <c r="D80" s="158"/>
      <c r="E80" s="163"/>
      <c r="F80" s="48"/>
      <c r="G80" s="48"/>
      <c r="H80" s="48"/>
    </row>
    <row r="81" spans="1:8" s="14" customFormat="1" ht="38.25">
      <c r="A81" s="60">
        <f>A79+1</f>
        <v>64</v>
      </c>
      <c r="B81" s="60" t="s">
        <v>84</v>
      </c>
      <c r="C81" s="148" t="s">
        <v>1222</v>
      </c>
      <c r="D81" s="149" t="s">
        <v>8</v>
      </c>
      <c r="E81" s="131">
        <v>1</v>
      </c>
      <c r="F81" s="48"/>
      <c r="G81" s="48"/>
      <c r="H81" s="48"/>
    </row>
    <row r="82" spans="1:8" s="14" customFormat="1" ht="38.25">
      <c r="A82" s="42">
        <f t="shared" ref="A82:A91" si="1">A81+1</f>
        <v>65</v>
      </c>
      <c r="B82" s="42" t="s">
        <v>84</v>
      </c>
      <c r="C82" s="145" t="s">
        <v>1223</v>
      </c>
      <c r="D82" s="13" t="s">
        <v>8</v>
      </c>
      <c r="E82" s="132">
        <v>1</v>
      </c>
      <c r="F82" s="48"/>
      <c r="G82" s="48"/>
      <c r="H82" s="48"/>
    </row>
    <row r="83" spans="1:8" s="14" customFormat="1" ht="25.5">
      <c r="A83" s="42">
        <f t="shared" si="1"/>
        <v>66</v>
      </c>
      <c r="B83" s="42" t="s">
        <v>84</v>
      </c>
      <c r="C83" s="145" t="s">
        <v>290</v>
      </c>
      <c r="D83" s="13" t="s">
        <v>90</v>
      </c>
      <c r="E83" s="132">
        <v>1</v>
      </c>
      <c r="F83" s="48"/>
      <c r="G83" s="48"/>
      <c r="H83" s="48"/>
    </row>
    <row r="84" spans="1:8" s="14" customFormat="1" ht="25.5">
      <c r="A84" s="42">
        <f t="shared" si="1"/>
        <v>67</v>
      </c>
      <c r="B84" s="42" t="s">
        <v>84</v>
      </c>
      <c r="C84" s="145" t="s">
        <v>1224</v>
      </c>
      <c r="D84" s="13" t="s">
        <v>90</v>
      </c>
      <c r="E84" s="132">
        <v>1</v>
      </c>
      <c r="F84" s="48"/>
      <c r="G84" s="48"/>
      <c r="H84" s="48"/>
    </row>
    <row r="85" spans="1:8" s="14" customFormat="1" ht="25.5">
      <c r="A85" s="42">
        <f t="shared" si="1"/>
        <v>68</v>
      </c>
      <c r="B85" s="42" t="s">
        <v>84</v>
      </c>
      <c r="C85" s="145" t="s">
        <v>306</v>
      </c>
      <c r="D85" s="13" t="s">
        <v>90</v>
      </c>
      <c r="E85" s="132">
        <v>1</v>
      </c>
      <c r="F85" s="48"/>
      <c r="G85" s="48"/>
      <c r="H85" s="48"/>
    </row>
    <row r="86" spans="1:8" s="14" customFormat="1" ht="25.5">
      <c r="A86" s="42">
        <f t="shared" si="1"/>
        <v>69</v>
      </c>
      <c r="B86" s="42" t="s">
        <v>84</v>
      </c>
      <c r="C86" s="145" t="s">
        <v>1225</v>
      </c>
      <c r="D86" s="13" t="s">
        <v>90</v>
      </c>
      <c r="E86" s="132">
        <v>1</v>
      </c>
      <c r="F86" s="48"/>
      <c r="G86" s="48"/>
      <c r="H86" s="48"/>
    </row>
    <row r="87" spans="1:8" s="14" customFormat="1" ht="15.75">
      <c r="A87" s="42">
        <f t="shared" si="1"/>
        <v>70</v>
      </c>
      <c r="B87" s="42" t="s">
        <v>84</v>
      </c>
      <c r="C87" s="145" t="s">
        <v>315</v>
      </c>
      <c r="D87" s="13" t="s">
        <v>273</v>
      </c>
      <c r="E87" s="132">
        <v>10</v>
      </c>
      <c r="F87" s="48"/>
      <c r="G87" s="48"/>
      <c r="H87" s="48"/>
    </row>
    <row r="88" spans="1:8" s="14" customFormat="1">
      <c r="A88" s="42">
        <f t="shared" si="1"/>
        <v>71</v>
      </c>
      <c r="B88" s="42" t="s">
        <v>84</v>
      </c>
      <c r="C88" s="145" t="s">
        <v>291</v>
      </c>
      <c r="D88" s="13" t="s">
        <v>273</v>
      </c>
      <c r="E88" s="132">
        <v>20</v>
      </c>
      <c r="F88" s="48"/>
      <c r="G88" s="48"/>
      <c r="H88" s="48"/>
    </row>
    <row r="89" spans="1:8" s="14" customFormat="1">
      <c r="A89" s="42">
        <f t="shared" si="1"/>
        <v>72</v>
      </c>
      <c r="B89" s="42" t="s">
        <v>84</v>
      </c>
      <c r="C89" s="145" t="s">
        <v>292</v>
      </c>
      <c r="D89" s="13" t="s">
        <v>273</v>
      </c>
      <c r="E89" s="132">
        <v>10</v>
      </c>
      <c r="F89" s="48"/>
      <c r="G89" s="48"/>
      <c r="H89" s="48"/>
    </row>
    <row r="90" spans="1:8" s="14" customFormat="1">
      <c r="A90" s="42">
        <f t="shared" si="1"/>
        <v>73</v>
      </c>
      <c r="B90" s="42" t="s">
        <v>84</v>
      </c>
      <c r="C90" s="145" t="s">
        <v>272</v>
      </c>
      <c r="D90" s="13" t="s">
        <v>273</v>
      </c>
      <c r="E90" s="132">
        <v>20</v>
      </c>
      <c r="F90" s="48"/>
      <c r="G90" s="48"/>
      <c r="H90" s="48"/>
    </row>
    <row r="91" spans="1:8" s="14" customFormat="1" ht="38.25">
      <c r="A91" s="144">
        <f t="shared" si="1"/>
        <v>74</v>
      </c>
      <c r="B91" s="144" t="s">
        <v>84</v>
      </c>
      <c r="C91" s="147" t="s">
        <v>320</v>
      </c>
      <c r="D91" s="75" t="s">
        <v>8</v>
      </c>
      <c r="E91" s="133">
        <v>1</v>
      </c>
      <c r="F91" s="48"/>
      <c r="G91" s="48"/>
      <c r="H91" s="48"/>
    </row>
    <row r="92" spans="1:8" s="45" customFormat="1">
      <c r="A92" s="283"/>
      <c r="B92" s="283"/>
      <c r="C92" s="37" t="s">
        <v>1094</v>
      </c>
      <c r="D92" s="38"/>
      <c r="E92" s="39"/>
      <c r="F92" s="44"/>
      <c r="G92" s="44"/>
    </row>
    <row r="93" spans="1:8" s="21" customFormat="1">
      <c r="A93" s="19"/>
      <c r="B93" s="19"/>
      <c r="C93" s="20"/>
    </row>
    <row r="94" spans="1:8" s="3" customFormat="1">
      <c r="A94" s="22"/>
      <c r="B94" s="6"/>
      <c r="C94" s="20"/>
      <c r="D94" s="20"/>
      <c r="E94" s="255"/>
      <c r="F94" s="216"/>
      <c r="G94" s="215"/>
    </row>
    <row r="95" spans="1:8">
      <c r="A95" s="331" t="s">
        <v>14</v>
      </c>
      <c r="B95" s="331"/>
      <c r="C95" s="275" t="s">
        <v>1082</v>
      </c>
      <c r="D95" s="20"/>
      <c r="E95" s="255"/>
      <c r="F95" s="218"/>
      <c r="G95" s="217"/>
    </row>
    <row r="96" spans="1:8">
      <c r="B96" s="6"/>
      <c r="C96" s="74" t="s">
        <v>15</v>
      </c>
      <c r="D96" s="20"/>
      <c r="E96" s="255"/>
      <c r="F96" s="220"/>
      <c r="G96" s="217"/>
    </row>
    <row r="97" spans="2:7">
      <c r="B97" s="6"/>
      <c r="C97" s="238" t="s">
        <v>21</v>
      </c>
      <c r="D97" s="20"/>
      <c r="E97" s="255"/>
      <c r="F97" s="215"/>
      <c r="G97" s="215"/>
    </row>
    <row r="98" spans="2:7">
      <c r="B98" s="6"/>
      <c r="C98" s="6" t="s">
        <v>1086</v>
      </c>
      <c r="D98" s="20"/>
      <c r="E98" s="255"/>
      <c r="F98" s="215"/>
      <c r="G98" s="215"/>
    </row>
  </sheetData>
  <mergeCells count="8">
    <mergeCell ref="A95:B95"/>
    <mergeCell ref="A1:E1"/>
    <mergeCell ref="A2:E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8"/>
  <sheetViews>
    <sheetView view="pageBreakPreview" topLeftCell="A8" zoomScaleNormal="280" zoomScaleSheetLayoutView="100" workbookViewId="0">
      <selection activeCell="C28" sqref="C28"/>
    </sheetView>
  </sheetViews>
  <sheetFormatPr defaultColWidth="5.5703125" defaultRowHeight="12.75"/>
  <cols>
    <col min="1" max="2" width="6.42578125" style="25" customWidth="1"/>
    <col min="3" max="3" width="41.140625" style="25" customWidth="1"/>
    <col min="4" max="4" width="7.5703125" style="25" customWidth="1"/>
    <col min="5" max="5" width="10.5703125" style="25" customWidth="1"/>
    <col min="6" max="6" width="5.7109375" style="23" customWidth="1"/>
    <col min="7" max="7" width="5.5703125" style="23"/>
    <col min="8" max="8" width="6.7109375" style="25" customWidth="1"/>
    <col min="9" max="16384" width="5.5703125" style="25"/>
  </cols>
  <sheetData>
    <row r="1" spans="1:8" s="3" customFormat="1">
      <c r="A1" s="332" t="s">
        <v>1097</v>
      </c>
      <c r="B1" s="332"/>
      <c r="C1" s="332"/>
      <c r="D1" s="332"/>
      <c r="E1" s="332"/>
      <c r="F1" s="1"/>
      <c r="G1" s="2"/>
    </row>
    <row r="2" spans="1:8" s="3" customFormat="1">
      <c r="A2" s="333" t="s">
        <v>321</v>
      </c>
      <c r="B2" s="333"/>
      <c r="C2" s="333"/>
      <c r="D2" s="333"/>
      <c r="E2" s="333"/>
      <c r="F2" s="2"/>
      <c r="G2" s="2"/>
    </row>
    <row r="3" spans="1:8" s="3" customFormat="1">
      <c r="A3" s="276"/>
      <c r="B3" s="276"/>
      <c r="C3" s="276"/>
      <c r="D3" s="276"/>
      <c r="E3" s="276"/>
      <c r="F3" s="2"/>
      <c r="G3" s="2"/>
    </row>
    <row r="4" spans="1:8" s="3" customFormat="1">
      <c r="A4" s="4" t="s">
        <v>19</v>
      </c>
      <c r="B4" s="4"/>
      <c r="C4" s="2"/>
      <c r="D4" s="5"/>
      <c r="E4" s="5"/>
      <c r="F4" s="2"/>
      <c r="G4" s="2"/>
    </row>
    <row r="5" spans="1:8" s="3" customFormat="1">
      <c r="A5" s="4" t="s">
        <v>13</v>
      </c>
      <c r="B5" s="4"/>
      <c r="C5" s="2"/>
      <c r="D5" s="5"/>
      <c r="E5" s="5"/>
      <c r="F5" s="2"/>
      <c r="G5" s="2"/>
    </row>
    <row r="6" spans="1:8" s="3" customFormat="1">
      <c r="A6" s="4" t="s">
        <v>18</v>
      </c>
      <c r="B6" s="4"/>
      <c r="C6" s="2"/>
      <c r="D6" s="5"/>
      <c r="E6" s="5"/>
      <c r="F6" s="2"/>
      <c r="G6" s="2"/>
    </row>
    <row r="7" spans="1:8" s="3" customFormat="1">
      <c r="A7" s="4" t="s">
        <v>1083</v>
      </c>
      <c r="B7" s="4"/>
      <c r="C7" s="2"/>
      <c r="D7" s="5"/>
      <c r="E7" s="5"/>
      <c r="F7" s="2"/>
      <c r="G7" s="2"/>
    </row>
    <row r="8" spans="1:8" s="3" customFormat="1">
      <c r="A8" s="3" t="s">
        <v>12</v>
      </c>
      <c r="B8" s="4"/>
      <c r="C8" s="2"/>
      <c r="D8" s="5"/>
      <c r="E8" s="5"/>
      <c r="F8" s="2"/>
      <c r="G8" s="2"/>
    </row>
    <row r="9" spans="1:8" s="3" customFormat="1">
      <c r="A9" s="3" t="s">
        <v>17</v>
      </c>
      <c r="C9" s="6"/>
      <c r="D9" s="5"/>
      <c r="F9" s="2"/>
      <c r="G9" s="2"/>
    </row>
    <row r="10" spans="1:8" s="3" customFormat="1">
      <c r="C10" s="6"/>
      <c r="D10" s="5"/>
      <c r="F10" s="2"/>
      <c r="G10" s="2"/>
    </row>
    <row r="11" spans="1:8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6" t="s">
        <v>2</v>
      </c>
      <c r="F11" s="2"/>
      <c r="G11" s="2"/>
    </row>
    <row r="12" spans="1:8" s="3" customFormat="1" ht="55.5" customHeight="1">
      <c r="A12" s="335"/>
      <c r="B12" s="335"/>
      <c r="C12" s="335"/>
      <c r="D12" s="335"/>
      <c r="E12" s="336"/>
      <c r="F12" s="2"/>
      <c r="G12" s="2"/>
    </row>
    <row r="13" spans="1:8" s="140" customFormat="1" ht="25.5">
      <c r="A13" s="76"/>
      <c r="B13" s="76" t="s">
        <v>375</v>
      </c>
      <c r="C13" s="157" t="s">
        <v>332</v>
      </c>
      <c r="D13" s="158"/>
      <c r="E13" s="158"/>
      <c r="F13" s="48"/>
      <c r="G13" s="48"/>
    </row>
    <row r="14" spans="1:8" s="14" customFormat="1" ht="25.5">
      <c r="A14" s="7">
        <v>1</v>
      </c>
      <c r="B14" s="7" t="s">
        <v>84</v>
      </c>
      <c r="C14" s="125" t="s">
        <v>1226</v>
      </c>
      <c r="D14" s="149" t="s">
        <v>8</v>
      </c>
      <c r="E14" s="159">
        <v>1</v>
      </c>
      <c r="F14" s="48"/>
      <c r="G14" s="48"/>
      <c r="H14" s="48"/>
    </row>
    <row r="15" spans="1:8" s="14" customFormat="1" ht="25.5">
      <c r="A15" s="31">
        <f>1+A14</f>
        <v>2</v>
      </c>
      <c r="B15" s="31" t="s">
        <v>84</v>
      </c>
      <c r="C15" s="55" t="s">
        <v>1227</v>
      </c>
      <c r="D15" s="13" t="s">
        <v>222</v>
      </c>
      <c r="E15" s="146">
        <v>1</v>
      </c>
      <c r="F15" s="48"/>
      <c r="G15" s="175"/>
      <c r="H15" s="48"/>
    </row>
    <row r="16" spans="1:8" s="14" customFormat="1">
      <c r="A16" s="31">
        <f t="shared" ref="A16:A29" si="0">1+A15</f>
        <v>3</v>
      </c>
      <c r="B16" s="31" t="s">
        <v>84</v>
      </c>
      <c r="C16" s="55" t="s">
        <v>342</v>
      </c>
      <c r="D16" s="13" t="s">
        <v>222</v>
      </c>
      <c r="E16" s="146">
        <v>1</v>
      </c>
      <c r="F16" s="48"/>
      <c r="G16" s="48"/>
      <c r="H16" s="48"/>
    </row>
    <row r="17" spans="1:8" s="14" customFormat="1">
      <c r="A17" s="31">
        <f t="shared" si="0"/>
        <v>4</v>
      </c>
      <c r="B17" s="31" t="s">
        <v>84</v>
      </c>
      <c r="C17" s="55" t="s">
        <v>341</v>
      </c>
      <c r="D17" s="13" t="s">
        <v>222</v>
      </c>
      <c r="E17" s="146">
        <v>1</v>
      </c>
      <c r="F17" s="48"/>
      <c r="G17" s="48"/>
      <c r="H17" s="48"/>
    </row>
    <row r="18" spans="1:8" s="14" customFormat="1" ht="38.25">
      <c r="A18" s="31">
        <f t="shared" si="0"/>
        <v>5</v>
      </c>
      <c r="B18" s="31" t="s">
        <v>84</v>
      </c>
      <c r="C18" s="154" t="s">
        <v>1228</v>
      </c>
      <c r="D18" s="13" t="s">
        <v>222</v>
      </c>
      <c r="E18" s="146">
        <v>1</v>
      </c>
      <c r="F18" s="48"/>
      <c r="G18" s="48"/>
      <c r="H18" s="48"/>
    </row>
    <row r="19" spans="1:8" s="14" customFormat="1" ht="38.25">
      <c r="A19" s="31">
        <f t="shared" si="0"/>
        <v>6</v>
      </c>
      <c r="B19" s="31" t="s">
        <v>84</v>
      </c>
      <c r="C19" s="154" t="s">
        <v>1229</v>
      </c>
      <c r="D19" s="13" t="s">
        <v>222</v>
      </c>
      <c r="E19" s="146">
        <v>2</v>
      </c>
      <c r="F19" s="48"/>
      <c r="G19" s="48"/>
      <c r="H19" s="48"/>
    </row>
    <row r="20" spans="1:8" s="14" customFormat="1">
      <c r="A20" s="31">
        <f t="shared" si="0"/>
        <v>7</v>
      </c>
      <c r="B20" s="31" t="s">
        <v>84</v>
      </c>
      <c r="C20" s="55" t="s">
        <v>340</v>
      </c>
      <c r="D20" s="13" t="s">
        <v>222</v>
      </c>
      <c r="E20" s="146">
        <v>2</v>
      </c>
      <c r="F20" s="48"/>
      <c r="G20" s="48"/>
      <c r="H20" s="48"/>
    </row>
    <row r="21" spans="1:8" s="14" customFormat="1" ht="25.5">
      <c r="A21" s="31">
        <f t="shared" si="0"/>
        <v>8</v>
      </c>
      <c r="B21" s="31" t="s">
        <v>84</v>
      </c>
      <c r="C21" s="54" t="s">
        <v>322</v>
      </c>
      <c r="D21" s="13" t="s">
        <v>8</v>
      </c>
      <c r="E21" s="146">
        <v>1</v>
      </c>
      <c r="F21" s="48"/>
      <c r="G21" s="48"/>
      <c r="H21" s="48"/>
    </row>
    <row r="22" spans="1:8" s="14" customFormat="1" ht="25.5">
      <c r="A22" s="31">
        <f t="shared" si="0"/>
        <v>9</v>
      </c>
      <c r="B22" s="31" t="s">
        <v>84</v>
      </c>
      <c r="C22" s="55" t="s">
        <v>339</v>
      </c>
      <c r="D22" s="13" t="s">
        <v>8</v>
      </c>
      <c r="E22" s="146">
        <v>1</v>
      </c>
      <c r="F22" s="48"/>
      <c r="G22" s="48"/>
      <c r="H22" s="48"/>
    </row>
    <row r="23" spans="1:8" s="14" customFormat="1">
      <c r="A23" s="31">
        <f t="shared" si="0"/>
        <v>10</v>
      </c>
      <c r="B23" s="31" t="s">
        <v>84</v>
      </c>
      <c r="C23" s="55" t="s">
        <v>338</v>
      </c>
      <c r="D23" s="13" t="s">
        <v>8</v>
      </c>
      <c r="E23" s="146">
        <v>2</v>
      </c>
      <c r="F23" s="48"/>
      <c r="G23" s="48"/>
      <c r="H23" s="48"/>
    </row>
    <row r="24" spans="1:8" s="14" customFormat="1" ht="25.5">
      <c r="A24" s="31">
        <f t="shared" si="0"/>
        <v>11</v>
      </c>
      <c r="B24" s="31" t="s">
        <v>84</v>
      </c>
      <c r="C24" s="153" t="s">
        <v>1230</v>
      </c>
      <c r="D24" s="13" t="s">
        <v>8</v>
      </c>
      <c r="E24" s="146">
        <v>1</v>
      </c>
      <c r="F24" s="48"/>
      <c r="G24" s="48"/>
      <c r="H24" s="48"/>
    </row>
    <row r="25" spans="1:8" s="14" customFormat="1" ht="25.5">
      <c r="A25" s="31">
        <f t="shared" si="0"/>
        <v>12</v>
      </c>
      <c r="B25" s="31" t="s">
        <v>84</v>
      </c>
      <c r="C25" s="153" t="s">
        <v>1231</v>
      </c>
      <c r="D25" s="13" t="s">
        <v>222</v>
      </c>
      <c r="E25" s="132">
        <v>14</v>
      </c>
      <c r="F25" s="48"/>
      <c r="G25" s="48"/>
      <c r="H25" s="48"/>
    </row>
    <row r="26" spans="1:8" s="14" customFormat="1" ht="25.5">
      <c r="A26" s="31">
        <f t="shared" si="0"/>
        <v>13</v>
      </c>
      <c r="B26" s="31" t="s">
        <v>84</v>
      </c>
      <c r="C26" s="153" t="s">
        <v>1232</v>
      </c>
      <c r="D26" s="13" t="s">
        <v>8</v>
      </c>
      <c r="E26" s="146">
        <v>1</v>
      </c>
      <c r="F26" s="48"/>
      <c r="G26" s="48"/>
      <c r="H26" s="48"/>
    </row>
    <row r="27" spans="1:8" s="14" customFormat="1" ht="25.5">
      <c r="A27" s="31">
        <f t="shared" si="0"/>
        <v>14</v>
      </c>
      <c r="B27" s="31" t="s">
        <v>84</v>
      </c>
      <c r="C27" s="153" t="s">
        <v>1233</v>
      </c>
      <c r="D27" s="13" t="s">
        <v>8</v>
      </c>
      <c r="E27" s="146">
        <v>1</v>
      </c>
      <c r="F27" s="48"/>
      <c r="G27" s="48"/>
      <c r="H27" s="48"/>
    </row>
    <row r="28" spans="1:8" s="14" customFormat="1">
      <c r="A28" s="31">
        <f t="shared" si="0"/>
        <v>15</v>
      </c>
      <c r="B28" s="31" t="s">
        <v>84</v>
      </c>
      <c r="C28" s="153" t="s">
        <v>323</v>
      </c>
      <c r="D28" s="13" t="s">
        <v>8</v>
      </c>
      <c r="E28" s="146">
        <v>1</v>
      </c>
      <c r="F28" s="48"/>
      <c r="G28" s="48"/>
      <c r="H28" s="48"/>
    </row>
    <row r="29" spans="1:8" s="14" customFormat="1" ht="25.5">
      <c r="A29" s="51">
        <f t="shared" si="0"/>
        <v>16</v>
      </c>
      <c r="B29" s="51" t="s">
        <v>84</v>
      </c>
      <c r="C29" s="161" t="s">
        <v>324</v>
      </c>
      <c r="D29" s="152" t="s">
        <v>8</v>
      </c>
      <c r="E29" s="162">
        <v>1</v>
      </c>
      <c r="F29" s="48"/>
      <c r="G29" s="48"/>
      <c r="H29" s="48"/>
    </row>
    <row r="30" spans="1:8" s="14" customFormat="1" ht="25.5">
      <c r="A30" s="76"/>
      <c r="B30" s="76" t="s">
        <v>375</v>
      </c>
      <c r="C30" s="157" t="s">
        <v>325</v>
      </c>
      <c r="D30" s="158"/>
      <c r="E30" s="163"/>
      <c r="F30" s="48"/>
      <c r="G30" s="48"/>
      <c r="H30" s="48"/>
    </row>
    <row r="31" spans="1:8" s="14" customFormat="1" ht="25.5">
      <c r="A31" s="7">
        <f>A29+1</f>
        <v>17</v>
      </c>
      <c r="B31" s="7" t="s">
        <v>84</v>
      </c>
      <c r="C31" s="156" t="s">
        <v>343</v>
      </c>
      <c r="D31" s="149" t="s">
        <v>222</v>
      </c>
      <c r="E31" s="131">
        <v>40</v>
      </c>
      <c r="F31" s="48"/>
      <c r="G31" s="48"/>
      <c r="H31" s="48"/>
    </row>
    <row r="32" spans="1:8" s="14" customFormat="1" ht="25.5">
      <c r="A32" s="31">
        <f t="shared" ref="A32:A42" si="1">1+A31</f>
        <v>18</v>
      </c>
      <c r="B32" s="31" t="s">
        <v>84</v>
      </c>
      <c r="C32" s="54" t="s">
        <v>344</v>
      </c>
      <c r="D32" s="13" t="s">
        <v>222</v>
      </c>
      <c r="E32" s="132">
        <v>24</v>
      </c>
      <c r="F32" s="48"/>
      <c r="G32" s="48"/>
      <c r="H32" s="48"/>
    </row>
    <row r="33" spans="1:8" s="14" customFormat="1" ht="38.25">
      <c r="A33" s="31">
        <f t="shared" si="1"/>
        <v>19</v>
      </c>
      <c r="B33" s="31" t="s">
        <v>84</v>
      </c>
      <c r="C33" s="54" t="s">
        <v>345</v>
      </c>
      <c r="D33" s="13" t="s">
        <v>222</v>
      </c>
      <c r="E33" s="132">
        <v>8</v>
      </c>
      <c r="F33" s="48"/>
      <c r="G33" s="48"/>
      <c r="H33" s="48"/>
    </row>
    <row r="34" spans="1:8" s="14" customFormat="1" ht="25.5">
      <c r="A34" s="31">
        <f t="shared" si="1"/>
        <v>20</v>
      </c>
      <c r="B34" s="31" t="s">
        <v>84</v>
      </c>
      <c r="C34" s="153" t="s">
        <v>346</v>
      </c>
      <c r="D34" s="13" t="s">
        <v>222</v>
      </c>
      <c r="E34" s="132">
        <v>2</v>
      </c>
      <c r="F34" s="48"/>
      <c r="G34" s="48"/>
      <c r="H34" s="48"/>
    </row>
    <row r="35" spans="1:8" s="14" customFormat="1">
      <c r="A35" s="31">
        <f t="shared" si="1"/>
        <v>21</v>
      </c>
      <c r="B35" s="31" t="s">
        <v>84</v>
      </c>
      <c r="C35" s="153" t="s">
        <v>337</v>
      </c>
      <c r="D35" s="13" t="s">
        <v>222</v>
      </c>
      <c r="E35" s="132">
        <f>E31+E32+E33+E34</f>
        <v>74</v>
      </c>
      <c r="F35" s="48"/>
      <c r="G35" s="48"/>
      <c r="H35" s="48"/>
    </row>
    <row r="36" spans="1:8" s="14" customFormat="1" ht="38.25">
      <c r="A36" s="31">
        <f t="shared" si="1"/>
        <v>22</v>
      </c>
      <c r="B36" s="31" t="s">
        <v>84</v>
      </c>
      <c r="C36" s="54" t="s">
        <v>347</v>
      </c>
      <c r="D36" s="13" t="s">
        <v>222</v>
      </c>
      <c r="E36" s="132">
        <v>13</v>
      </c>
      <c r="F36" s="48"/>
      <c r="G36" s="48"/>
      <c r="H36" s="48"/>
    </row>
    <row r="37" spans="1:8" s="14" customFormat="1" ht="25.5">
      <c r="A37" s="31">
        <f t="shared" si="1"/>
        <v>23</v>
      </c>
      <c r="B37" s="31" t="s">
        <v>84</v>
      </c>
      <c r="C37" s="153" t="s">
        <v>348</v>
      </c>
      <c r="D37" s="13" t="s">
        <v>222</v>
      </c>
      <c r="E37" s="132">
        <v>13</v>
      </c>
      <c r="F37" s="48"/>
      <c r="G37" s="48"/>
      <c r="H37" s="48"/>
    </row>
    <row r="38" spans="1:8" s="14" customFormat="1" ht="25.5">
      <c r="A38" s="31">
        <f t="shared" si="1"/>
        <v>24</v>
      </c>
      <c r="B38" s="31" t="s">
        <v>84</v>
      </c>
      <c r="C38" s="54" t="s">
        <v>349</v>
      </c>
      <c r="D38" s="13" t="s">
        <v>222</v>
      </c>
      <c r="E38" s="132">
        <v>8</v>
      </c>
      <c r="F38" s="48"/>
      <c r="G38" s="48"/>
      <c r="H38" s="48"/>
    </row>
    <row r="39" spans="1:8" s="14" customFormat="1" ht="25.5">
      <c r="A39" s="31">
        <f t="shared" si="1"/>
        <v>25</v>
      </c>
      <c r="B39" s="31" t="s">
        <v>84</v>
      </c>
      <c r="C39" s="153" t="s">
        <v>336</v>
      </c>
      <c r="D39" s="13" t="s">
        <v>222</v>
      </c>
      <c r="E39" s="132">
        <v>1</v>
      </c>
      <c r="F39" s="48"/>
      <c r="G39" s="48"/>
      <c r="H39" s="48"/>
    </row>
    <row r="40" spans="1:8" s="14" customFormat="1" ht="25.5">
      <c r="A40" s="31">
        <f t="shared" si="1"/>
        <v>26</v>
      </c>
      <c r="B40" s="31" t="s">
        <v>84</v>
      </c>
      <c r="C40" s="258" t="s">
        <v>350</v>
      </c>
      <c r="D40" s="13" t="s">
        <v>222</v>
      </c>
      <c r="E40" s="132">
        <v>24</v>
      </c>
      <c r="F40" s="48"/>
      <c r="G40" s="48"/>
      <c r="H40" s="48"/>
    </row>
    <row r="41" spans="1:8" s="14" customFormat="1" ht="25.5">
      <c r="A41" s="31">
        <f t="shared" si="1"/>
        <v>27</v>
      </c>
      <c r="B41" s="31" t="s">
        <v>84</v>
      </c>
      <c r="C41" s="153" t="s">
        <v>351</v>
      </c>
      <c r="D41" s="13" t="s">
        <v>222</v>
      </c>
      <c r="E41" s="132">
        <v>14</v>
      </c>
      <c r="F41" s="48"/>
      <c r="G41" s="48"/>
      <c r="H41" s="48"/>
    </row>
    <row r="42" spans="1:8" s="14" customFormat="1">
      <c r="A42" s="51">
        <f t="shared" si="1"/>
        <v>28</v>
      </c>
      <c r="B42" s="51" t="s">
        <v>84</v>
      </c>
      <c r="C42" s="161" t="s">
        <v>326</v>
      </c>
      <c r="D42" s="152" t="s">
        <v>8</v>
      </c>
      <c r="E42" s="134">
        <v>1</v>
      </c>
      <c r="F42" s="48"/>
      <c r="G42" s="48"/>
      <c r="H42" s="48"/>
    </row>
    <row r="43" spans="1:8" s="14" customFormat="1" ht="25.5">
      <c r="A43" s="164"/>
      <c r="B43" s="76" t="s">
        <v>375</v>
      </c>
      <c r="C43" s="157" t="s">
        <v>327</v>
      </c>
      <c r="D43" s="157"/>
      <c r="E43" s="165"/>
      <c r="F43" s="48"/>
      <c r="G43" s="48"/>
      <c r="H43" s="48"/>
    </row>
    <row r="44" spans="1:8" s="14" customFormat="1" ht="25.5">
      <c r="A44" s="30">
        <f>A42+1</f>
        <v>29</v>
      </c>
      <c r="B44" s="30" t="s">
        <v>84</v>
      </c>
      <c r="C44" s="168" t="s">
        <v>333</v>
      </c>
      <c r="D44" s="41" t="s">
        <v>9</v>
      </c>
      <c r="E44" s="169">
        <v>380</v>
      </c>
      <c r="F44" s="48"/>
      <c r="G44" s="48"/>
      <c r="H44" s="48"/>
    </row>
    <row r="45" spans="1:8" s="14" customFormat="1" ht="25.5">
      <c r="A45" s="31">
        <f t="shared" ref="A45:A51" si="2">1+A44</f>
        <v>30</v>
      </c>
      <c r="B45" s="31" t="s">
        <v>84</v>
      </c>
      <c r="C45" s="153" t="s">
        <v>334</v>
      </c>
      <c r="D45" s="13" t="s">
        <v>9</v>
      </c>
      <c r="E45" s="146">
        <v>50</v>
      </c>
      <c r="F45" s="48"/>
      <c r="G45" s="48"/>
      <c r="H45" s="48"/>
    </row>
    <row r="46" spans="1:8" s="14" customFormat="1">
      <c r="A46" s="31">
        <f t="shared" si="2"/>
        <v>31</v>
      </c>
      <c r="B46" s="31" t="s">
        <v>84</v>
      </c>
      <c r="C46" s="153" t="s">
        <v>335</v>
      </c>
      <c r="D46" s="13" t="s">
        <v>9</v>
      </c>
      <c r="E46" s="146">
        <v>30</v>
      </c>
      <c r="F46" s="48"/>
      <c r="G46" s="48"/>
      <c r="H46" s="48"/>
    </row>
    <row r="47" spans="1:8" s="14" customFormat="1">
      <c r="A47" s="31">
        <f t="shared" si="2"/>
        <v>32</v>
      </c>
      <c r="B47" s="31" t="s">
        <v>84</v>
      </c>
      <c r="C47" s="153" t="s">
        <v>328</v>
      </c>
      <c r="D47" s="13" t="s">
        <v>9</v>
      </c>
      <c r="E47" s="146">
        <v>30</v>
      </c>
      <c r="F47" s="48"/>
      <c r="G47" s="48"/>
      <c r="H47" s="48"/>
    </row>
    <row r="48" spans="1:8" s="14" customFormat="1">
      <c r="A48" s="31">
        <f t="shared" si="2"/>
        <v>33</v>
      </c>
      <c r="B48" s="31" t="s">
        <v>84</v>
      </c>
      <c r="C48" s="153" t="s">
        <v>329</v>
      </c>
      <c r="D48" s="13" t="s">
        <v>9</v>
      </c>
      <c r="E48" s="146">
        <v>370</v>
      </c>
      <c r="F48" s="48"/>
      <c r="G48" s="48"/>
      <c r="H48" s="48"/>
    </row>
    <row r="49" spans="1:8" s="14" customFormat="1">
      <c r="A49" s="31">
        <f t="shared" si="2"/>
        <v>34</v>
      </c>
      <c r="B49" s="31" t="s">
        <v>84</v>
      </c>
      <c r="C49" s="153" t="s">
        <v>330</v>
      </c>
      <c r="D49" s="13" t="s">
        <v>9</v>
      </c>
      <c r="E49" s="146">
        <v>20</v>
      </c>
      <c r="F49" s="48"/>
      <c r="G49" s="48"/>
      <c r="H49" s="48"/>
    </row>
    <row r="50" spans="1:8" s="14" customFormat="1" ht="38.25">
      <c r="A50" s="31">
        <f t="shared" si="2"/>
        <v>35</v>
      </c>
      <c r="B50" s="31" t="s">
        <v>84</v>
      </c>
      <c r="C50" s="145" t="s">
        <v>320</v>
      </c>
      <c r="D50" s="13" t="s">
        <v>8</v>
      </c>
      <c r="E50" s="146">
        <v>1</v>
      </c>
      <c r="F50" s="48"/>
      <c r="G50" s="48"/>
      <c r="H50" s="48"/>
    </row>
    <row r="51" spans="1:8" s="14" customFormat="1">
      <c r="A51" s="33">
        <f t="shared" si="2"/>
        <v>36</v>
      </c>
      <c r="B51" s="33" t="s">
        <v>84</v>
      </c>
      <c r="C51" s="155" t="s">
        <v>331</v>
      </c>
      <c r="D51" s="75" t="s">
        <v>8</v>
      </c>
      <c r="E51" s="160">
        <v>1</v>
      </c>
      <c r="F51" s="48"/>
      <c r="G51" s="48"/>
      <c r="H51" s="48"/>
    </row>
    <row r="52" spans="1:8" s="45" customFormat="1">
      <c r="A52" s="283"/>
      <c r="B52" s="283"/>
      <c r="C52" s="37" t="s">
        <v>1094</v>
      </c>
      <c r="D52" s="38"/>
      <c r="E52" s="39"/>
      <c r="F52" s="44"/>
      <c r="G52" s="44"/>
    </row>
    <row r="53" spans="1:8" s="21" customFormat="1">
      <c r="A53" s="19"/>
      <c r="B53" s="19"/>
      <c r="C53" s="20"/>
    </row>
    <row r="54" spans="1:8" s="3" customFormat="1">
      <c r="A54" s="22"/>
      <c r="B54" s="6"/>
      <c r="C54" s="20"/>
      <c r="D54" s="20"/>
      <c r="E54" s="255"/>
      <c r="F54" s="216"/>
      <c r="G54" s="215"/>
    </row>
    <row r="55" spans="1:8">
      <c r="A55" s="331" t="s">
        <v>14</v>
      </c>
      <c r="B55" s="331"/>
      <c r="C55" s="275" t="s">
        <v>1082</v>
      </c>
      <c r="D55" s="20"/>
      <c r="E55" s="255"/>
      <c r="F55" s="218"/>
      <c r="G55" s="217"/>
    </row>
    <row r="56" spans="1:8">
      <c r="B56" s="6"/>
      <c r="C56" s="74" t="s">
        <v>15</v>
      </c>
      <c r="D56" s="20"/>
      <c r="E56" s="255"/>
      <c r="F56" s="220"/>
      <c r="G56" s="217"/>
    </row>
    <row r="57" spans="1:8">
      <c r="B57" s="6"/>
      <c r="C57" s="238" t="s">
        <v>21</v>
      </c>
      <c r="D57" s="20"/>
      <c r="E57" s="255"/>
      <c r="F57" s="215"/>
      <c r="G57" s="215"/>
    </row>
    <row r="58" spans="1:8">
      <c r="B58" s="6"/>
      <c r="C58" s="6" t="s">
        <v>1086</v>
      </c>
      <c r="D58" s="20"/>
      <c r="E58" s="255"/>
      <c r="F58" s="215"/>
      <c r="G58" s="215"/>
    </row>
  </sheetData>
  <mergeCells count="8">
    <mergeCell ref="A55:B55"/>
    <mergeCell ref="A1:E1"/>
    <mergeCell ref="A2:E2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7"/>
  <sheetViews>
    <sheetView view="pageBreakPreview" topLeftCell="A7" zoomScaleNormal="166" zoomScaleSheetLayoutView="100" workbookViewId="0">
      <selection activeCell="C21" sqref="C21"/>
    </sheetView>
  </sheetViews>
  <sheetFormatPr defaultColWidth="5.5703125" defaultRowHeight="12.75"/>
  <cols>
    <col min="1" max="2" width="6.42578125" style="25" customWidth="1"/>
    <col min="3" max="3" width="40.85546875" style="25" customWidth="1"/>
    <col min="4" max="4" width="6.42578125" style="25" customWidth="1"/>
    <col min="5" max="5" width="8.140625" style="25" customWidth="1"/>
    <col min="6" max="6" width="5.7109375" style="23" customWidth="1"/>
    <col min="7" max="7" width="5.5703125" style="23"/>
    <col min="8" max="8" width="6.7109375" style="25" customWidth="1"/>
    <col min="9" max="16384" width="5.5703125" style="25"/>
  </cols>
  <sheetData>
    <row r="1" spans="1:8" s="3" customFormat="1">
      <c r="A1" s="332" t="s">
        <v>1098</v>
      </c>
      <c r="B1" s="332"/>
      <c r="C1" s="332"/>
      <c r="D1" s="332"/>
      <c r="E1" s="332"/>
      <c r="F1" s="1"/>
      <c r="G1" s="2"/>
    </row>
    <row r="2" spans="1:8" s="3" customFormat="1">
      <c r="A2" s="333" t="s">
        <v>25</v>
      </c>
      <c r="B2" s="333"/>
      <c r="C2" s="333"/>
      <c r="D2" s="333"/>
      <c r="E2" s="333"/>
      <c r="F2" s="2"/>
      <c r="G2" s="2"/>
    </row>
    <row r="3" spans="1:8" s="3" customFormat="1">
      <c r="A3" s="276"/>
      <c r="B3" s="276"/>
      <c r="C3" s="276"/>
      <c r="D3" s="276"/>
      <c r="E3" s="276"/>
      <c r="F3" s="2"/>
      <c r="G3" s="2"/>
    </row>
    <row r="4" spans="1:8" s="3" customFormat="1">
      <c r="A4" s="4" t="s">
        <v>19</v>
      </c>
      <c r="B4" s="4"/>
      <c r="C4" s="2"/>
      <c r="D4" s="5"/>
      <c r="E4" s="5"/>
      <c r="F4" s="2"/>
      <c r="G4" s="2"/>
    </row>
    <row r="5" spans="1:8" s="3" customFormat="1">
      <c r="A5" s="4" t="s">
        <v>13</v>
      </c>
      <c r="B5" s="4"/>
      <c r="C5" s="2"/>
      <c r="D5" s="5"/>
      <c r="E5" s="5"/>
      <c r="F5" s="2"/>
      <c r="G5" s="2"/>
    </row>
    <row r="6" spans="1:8" s="3" customFormat="1">
      <c r="A6" s="4" t="s">
        <v>18</v>
      </c>
      <c r="B6" s="4"/>
      <c r="C6" s="2"/>
      <c r="D6" s="5"/>
      <c r="E6" s="5"/>
      <c r="F6" s="2"/>
      <c r="G6" s="2"/>
    </row>
    <row r="7" spans="1:8" s="3" customFormat="1">
      <c r="A7" s="4" t="s">
        <v>1083</v>
      </c>
      <c r="B7" s="4"/>
      <c r="C7" s="2"/>
      <c r="D7" s="5"/>
      <c r="E7" s="5"/>
      <c r="F7" s="2"/>
      <c r="G7" s="2"/>
    </row>
    <row r="8" spans="1:8" s="3" customFormat="1">
      <c r="A8" s="3" t="s">
        <v>12</v>
      </c>
      <c r="B8" s="4"/>
      <c r="C8" s="2"/>
      <c r="D8" s="5"/>
      <c r="E8" s="5"/>
      <c r="F8" s="2"/>
      <c r="G8" s="2"/>
    </row>
    <row r="9" spans="1:8" s="3" customFormat="1">
      <c r="A9" s="3" t="s">
        <v>17</v>
      </c>
      <c r="C9" s="6"/>
      <c r="D9" s="5"/>
      <c r="F9" s="2"/>
      <c r="G9" s="2"/>
    </row>
    <row r="10" spans="1:8" s="3" customFormat="1">
      <c r="C10" s="6"/>
      <c r="D10" s="5"/>
      <c r="F10" s="2"/>
      <c r="G10" s="2"/>
    </row>
    <row r="11" spans="1:8" s="3" customFormat="1" ht="12.75" customHeight="1">
      <c r="A11" s="334" t="s">
        <v>3</v>
      </c>
      <c r="B11" s="334" t="s">
        <v>4</v>
      </c>
      <c r="C11" s="334" t="s">
        <v>6</v>
      </c>
      <c r="D11" s="334" t="s">
        <v>1</v>
      </c>
      <c r="E11" s="334" t="s">
        <v>2</v>
      </c>
      <c r="F11" s="2"/>
      <c r="G11" s="2"/>
    </row>
    <row r="12" spans="1:8" s="3" customFormat="1" ht="55.5" customHeight="1">
      <c r="A12" s="335"/>
      <c r="B12" s="335"/>
      <c r="C12" s="335"/>
      <c r="D12" s="335"/>
      <c r="E12" s="335"/>
      <c r="F12" s="2"/>
      <c r="G12" s="2"/>
    </row>
    <row r="13" spans="1:8" s="140" customFormat="1" ht="25.5">
      <c r="A13" s="76"/>
      <c r="B13" s="76" t="s">
        <v>376</v>
      </c>
      <c r="C13" s="72" t="s">
        <v>390</v>
      </c>
      <c r="D13" s="90"/>
      <c r="E13" s="90"/>
      <c r="F13" s="48"/>
      <c r="G13" s="48"/>
    </row>
    <row r="14" spans="1:8" s="14" customFormat="1" ht="25.5">
      <c r="A14" s="7">
        <v>1</v>
      </c>
      <c r="B14" s="7" t="s">
        <v>84</v>
      </c>
      <c r="C14" s="61" t="s">
        <v>177</v>
      </c>
      <c r="D14" s="62" t="s">
        <v>9</v>
      </c>
      <c r="E14" s="82">
        <v>76</v>
      </c>
      <c r="F14" s="48"/>
      <c r="G14" s="48"/>
      <c r="H14" s="48"/>
    </row>
    <row r="15" spans="1:8" s="14" customFormat="1" ht="25.5">
      <c r="A15" s="51">
        <f>A14+1</f>
        <v>2</v>
      </c>
      <c r="B15" s="51" t="s">
        <v>84</v>
      </c>
      <c r="C15" s="95" t="s">
        <v>178</v>
      </c>
      <c r="D15" s="94" t="s">
        <v>9</v>
      </c>
      <c r="E15" s="320">
        <v>150</v>
      </c>
      <c r="F15" s="48"/>
      <c r="G15" s="48"/>
      <c r="H15" s="48"/>
    </row>
    <row r="16" spans="1:8" s="14" customFormat="1" ht="25.5">
      <c r="A16" s="76"/>
      <c r="B16" s="76" t="s">
        <v>376</v>
      </c>
      <c r="C16" s="72" t="s">
        <v>159</v>
      </c>
      <c r="D16" s="80"/>
      <c r="E16" s="135"/>
      <c r="F16" s="48"/>
      <c r="G16" s="48"/>
      <c r="H16" s="48"/>
    </row>
    <row r="17" spans="1:8" s="14" customFormat="1">
      <c r="A17" s="7">
        <f t="shared" ref="A17:A70" si="0">A16+1</f>
        <v>1</v>
      </c>
      <c r="B17" s="7" t="s">
        <v>84</v>
      </c>
      <c r="C17" s="61" t="s">
        <v>179</v>
      </c>
      <c r="D17" s="62" t="s">
        <v>90</v>
      </c>
      <c r="E17" s="321">
        <v>1</v>
      </c>
      <c r="F17" s="48"/>
      <c r="G17" s="48"/>
      <c r="H17" s="48"/>
    </row>
    <row r="18" spans="1:8" s="14" customFormat="1">
      <c r="A18" s="31">
        <f t="shared" si="0"/>
        <v>2</v>
      </c>
      <c r="B18" s="31" t="s">
        <v>84</v>
      </c>
      <c r="C18" s="15" t="s">
        <v>180</v>
      </c>
      <c r="D18" s="16" t="s">
        <v>90</v>
      </c>
      <c r="E18" s="82">
        <v>1</v>
      </c>
      <c r="F18" s="48"/>
      <c r="G18" s="48"/>
      <c r="H18" s="48"/>
    </row>
    <row r="19" spans="1:8" s="14" customFormat="1">
      <c r="A19" s="31">
        <f t="shared" si="0"/>
        <v>3</v>
      </c>
      <c r="B19" s="31" t="s">
        <v>84</v>
      </c>
      <c r="C19" s="15" t="s">
        <v>181</v>
      </c>
      <c r="D19" s="16" t="s">
        <v>90</v>
      </c>
      <c r="E19" s="82">
        <v>1</v>
      </c>
      <c r="F19" s="48"/>
      <c r="G19" s="48"/>
      <c r="H19" s="48"/>
    </row>
    <row r="20" spans="1:8" s="14" customFormat="1" ht="38.25">
      <c r="A20" s="51">
        <f t="shared" si="0"/>
        <v>4</v>
      </c>
      <c r="B20" s="51" t="s">
        <v>84</v>
      </c>
      <c r="C20" s="103" t="s">
        <v>1234</v>
      </c>
      <c r="D20" s="94" t="s">
        <v>8</v>
      </c>
      <c r="E20" s="320">
        <v>1</v>
      </c>
      <c r="F20" s="48"/>
      <c r="G20" s="48"/>
      <c r="H20" s="48"/>
    </row>
    <row r="21" spans="1:8" s="14" customFormat="1" ht="25.5">
      <c r="A21" s="76"/>
      <c r="B21" s="76" t="s">
        <v>376</v>
      </c>
      <c r="C21" s="322" t="s">
        <v>1102</v>
      </c>
      <c r="D21" s="96"/>
      <c r="E21" s="135"/>
      <c r="F21" s="48"/>
      <c r="G21" s="48"/>
      <c r="H21" s="48"/>
    </row>
    <row r="22" spans="1:8" s="14" customFormat="1" ht="27.75">
      <c r="A22" s="7">
        <f t="shared" si="0"/>
        <v>1</v>
      </c>
      <c r="B22" s="7" t="s">
        <v>84</v>
      </c>
      <c r="C22" s="106" t="s">
        <v>182</v>
      </c>
      <c r="D22" s="62" t="s">
        <v>90</v>
      </c>
      <c r="E22" s="321">
        <v>1</v>
      </c>
      <c r="F22" s="48"/>
      <c r="G22" s="48"/>
      <c r="H22" s="48"/>
    </row>
    <row r="23" spans="1:8" s="14" customFormat="1">
      <c r="A23" s="31">
        <f t="shared" si="0"/>
        <v>2</v>
      </c>
      <c r="B23" s="31" t="s">
        <v>84</v>
      </c>
      <c r="C23" s="99" t="s">
        <v>111</v>
      </c>
      <c r="D23" s="16" t="s">
        <v>90</v>
      </c>
      <c r="E23" s="82">
        <v>2</v>
      </c>
      <c r="F23" s="48"/>
      <c r="G23" s="48"/>
      <c r="H23" s="48"/>
    </row>
    <row r="24" spans="1:8" s="14" customFormat="1" ht="25.5">
      <c r="A24" s="31">
        <f t="shared" si="0"/>
        <v>3</v>
      </c>
      <c r="B24" s="31" t="s">
        <v>84</v>
      </c>
      <c r="C24" s="99" t="s">
        <v>183</v>
      </c>
      <c r="D24" s="16" t="s">
        <v>90</v>
      </c>
      <c r="E24" s="82">
        <v>2</v>
      </c>
      <c r="F24" s="48"/>
      <c r="G24" s="48"/>
      <c r="H24" s="48"/>
    </row>
    <row r="25" spans="1:8" s="14" customFormat="1">
      <c r="A25" s="31">
        <f t="shared" si="0"/>
        <v>4</v>
      </c>
      <c r="B25" s="31" t="s">
        <v>84</v>
      </c>
      <c r="C25" s="99" t="s">
        <v>184</v>
      </c>
      <c r="D25" s="16" t="s">
        <v>90</v>
      </c>
      <c r="E25" s="82">
        <v>2</v>
      </c>
      <c r="F25" s="48"/>
      <c r="G25" s="48"/>
      <c r="H25" s="48"/>
    </row>
    <row r="26" spans="1:8" s="14" customFormat="1" ht="15.75">
      <c r="A26" s="31">
        <f t="shared" si="0"/>
        <v>5</v>
      </c>
      <c r="B26" s="31" t="s">
        <v>84</v>
      </c>
      <c r="C26" s="99" t="s">
        <v>185</v>
      </c>
      <c r="D26" s="16" t="s">
        <v>90</v>
      </c>
      <c r="E26" s="82">
        <v>2</v>
      </c>
      <c r="F26" s="48"/>
      <c r="G26" s="48"/>
      <c r="H26" s="48"/>
    </row>
    <row r="27" spans="1:8" s="14" customFormat="1">
      <c r="A27" s="31">
        <f t="shared" si="0"/>
        <v>6</v>
      </c>
      <c r="B27" s="31" t="s">
        <v>84</v>
      </c>
      <c r="C27" s="99" t="s">
        <v>186</v>
      </c>
      <c r="D27" s="16" t="s">
        <v>90</v>
      </c>
      <c r="E27" s="82">
        <v>1</v>
      </c>
      <c r="F27" s="48"/>
      <c r="G27" s="48"/>
      <c r="H27" s="48"/>
    </row>
    <row r="28" spans="1:8" s="14" customFormat="1">
      <c r="A28" s="31">
        <f t="shared" si="0"/>
        <v>7</v>
      </c>
      <c r="B28" s="31" t="s">
        <v>84</v>
      </c>
      <c r="C28" s="99" t="s">
        <v>187</v>
      </c>
      <c r="D28" s="16" t="s">
        <v>90</v>
      </c>
      <c r="E28" s="82">
        <v>1</v>
      </c>
      <c r="F28" s="48"/>
      <c r="G28" s="48"/>
      <c r="H28" s="48"/>
    </row>
    <row r="29" spans="1:8" s="14" customFormat="1">
      <c r="A29" s="31">
        <f t="shared" si="0"/>
        <v>8</v>
      </c>
      <c r="B29" s="31" t="s">
        <v>84</v>
      </c>
      <c r="C29" s="99" t="s">
        <v>188</v>
      </c>
      <c r="D29" s="16" t="s">
        <v>9</v>
      </c>
      <c r="E29" s="82">
        <v>1</v>
      </c>
      <c r="F29" s="48"/>
      <c r="G29" s="48"/>
      <c r="H29" s="48"/>
    </row>
    <row r="30" spans="1:8" s="14" customFormat="1" ht="15.75">
      <c r="A30" s="31">
        <f t="shared" si="0"/>
        <v>9</v>
      </c>
      <c r="B30" s="31" t="s">
        <v>84</v>
      </c>
      <c r="C30" s="99" t="s">
        <v>189</v>
      </c>
      <c r="D30" s="16" t="s">
        <v>174</v>
      </c>
      <c r="E30" s="82">
        <v>0.12</v>
      </c>
      <c r="F30" s="48"/>
      <c r="G30" s="48"/>
      <c r="H30" s="48"/>
    </row>
    <row r="31" spans="1:8" s="14" customFormat="1">
      <c r="A31" s="31">
        <f t="shared" si="0"/>
        <v>10</v>
      </c>
      <c r="B31" s="31" t="s">
        <v>84</v>
      </c>
      <c r="C31" s="99" t="s">
        <v>190</v>
      </c>
      <c r="D31" s="16" t="s">
        <v>90</v>
      </c>
      <c r="E31" s="82">
        <v>2</v>
      </c>
      <c r="F31" s="48"/>
      <c r="G31" s="48"/>
      <c r="H31" s="48"/>
    </row>
    <row r="32" spans="1:8" s="14" customFormat="1" ht="25.5">
      <c r="A32" s="31">
        <f t="shared" si="0"/>
        <v>11</v>
      </c>
      <c r="B32" s="31" t="s">
        <v>84</v>
      </c>
      <c r="C32" s="99" t="s">
        <v>160</v>
      </c>
      <c r="D32" s="16" t="s">
        <v>174</v>
      </c>
      <c r="E32" s="82">
        <v>113</v>
      </c>
      <c r="F32" s="48"/>
      <c r="G32" s="48"/>
      <c r="H32" s="48"/>
    </row>
    <row r="33" spans="1:8" s="14" customFormat="1" ht="51">
      <c r="A33" s="31">
        <f t="shared" si="0"/>
        <v>12</v>
      </c>
      <c r="B33" s="31" t="s">
        <v>84</v>
      </c>
      <c r="C33" s="15" t="s">
        <v>191</v>
      </c>
      <c r="D33" s="16" t="s">
        <v>8</v>
      </c>
      <c r="E33" s="82">
        <v>1</v>
      </c>
      <c r="F33" s="48"/>
      <c r="G33" s="48"/>
      <c r="H33" s="48"/>
    </row>
    <row r="34" spans="1:8" s="14" customFormat="1">
      <c r="A34" s="31">
        <f t="shared" si="0"/>
        <v>13</v>
      </c>
      <c r="B34" s="31" t="s">
        <v>84</v>
      </c>
      <c r="C34" s="99" t="s">
        <v>161</v>
      </c>
      <c r="D34" s="100" t="s">
        <v>162</v>
      </c>
      <c r="E34" s="82">
        <v>1</v>
      </c>
      <c r="F34" s="48"/>
      <c r="G34" s="48"/>
      <c r="H34" s="48"/>
    </row>
    <row r="35" spans="1:8" s="14" customFormat="1">
      <c r="A35" s="31">
        <f t="shared" si="0"/>
        <v>14</v>
      </c>
      <c r="B35" s="31" t="s">
        <v>84</v>
      </c>
      <c r="C35" s="99" t="s">
        <v>192</v>
      </c>
      <c r="D35" s="100" t="s">
        <v>90</v>
      </c>
      <c r="E35" s="82">
        <v>1</v>
      </c>
      <c r="F35" s="48"/>
      <c r="G35" s="48"/>
      <c r="H35" s="48"/>
    </row>
    <row r="36" spans="1:8" s="14" customFormat="1">
      <c r="A36" s="31">
        <f t="shared" si="0"/>
        <v>15</v>
      </c>
      <c r="B36" s="31" t="s">
        <v>84</v>
      </c>
      <c r="C36" s="99" t="s">
        <v>193</v>
      </c>
      <c r="D36" s="100" t="s">
        <v>90</v>
      </c>
      <c r="E36" s="82">
        <v>2</v>
      </c>
      <c r="F36" s="48"/>
      <c r="G36" s="48"/>
      <c r="H36" s="48"/>
    </row>
    <row r="37" spans="1:8" s="14" customFormat="1">
      <c r="A37" s="31">
        <f t="shared" si="0"/>
        <v>16</v>
      </c>
      <c r="B37" s="31" t="s">
        <v>84</v>
      </c>
      <c r="C37" s="99" t="s">
        <v>194</v>
      </c>
      <c r="D37" s="100" t="s">
        <v>90</v>
      </c>
      <c r="E37" s="82">
        <v>1</v>
      </c>
      <c r="F37" s="48"/>
      <c r="G37" s="48"/>
      <c r="H37" s="48"/>
    </row>
    <row r="38" spans="1:8" s="14" customFormat="1">
      <c r="A38" s="31">
        <f t="shared" si="0"/>
        <v>17</v>
      </c>
      <c r="B38" s="31" t="s">
        <v>84</v>
      </c>
      <c r="C38" s="99" t="s">
        <v>195</v>
      </c>
      <c r="D38" s="100" t="s">
        <v>90</v>
      </c>
      <c r="E38" s="82">
        <v>1</v>
      </c>
      <c r="F38" s="48"/>
      <c r="G38" s="48"/>
      <c r="H38" s="48"/>
    </row>
    <row r="39" spans="1:8" s="14" customFormat="1">
      <c r="A39" s="31">
        <f t="shared" si="0"/>
        <v>18</v>
      </c>
      <c r="B39" s="31" t="s">
        <v>84</v>
      </c>
      <c r="C39" s="99" t="s">
        <v>196</v>
      </c>
      <c r="D39" s="100" t="s">
        <v>90</v>
      </c>
      <c r="E39" s="82">
        <v>2</v>
      </c>
      <c r="F39" s="48"/>
      <c r="G39" s="48"/>
      <c r="H39" s="48"/>
    </row>
    <row r="40" spans="1:8" s="14" customFormat="1">
      <c r="A40" s="31">
        <f t="shared" si="0"/>
        <v>19</v>
      </c>
      <c r="B40" s="31" t="s">
        <v>84</v>
      </c>
      <c r="C40" s="99" t="s">
        <v>197</v>
      </c>
      <c r="D40" s="100" t="s">
        <v>90</v>
      </c>
      <c r="E40" s="82">
        <v>1</v>
      </c>
      <c r="F40" s="48"/>
      <c r="G40" s="48"/>
      <c r="H40" s="48"/>
    </row>
    <row r="41" spans="1:8" s="14" customFormat="1" ht="15.75">
      <c r="A41" s="31">
        <f t="shared" si="0"/>
        <v>20</v>
      </c>
      <c r="B41" s="31" t="s">
        <v>84</v>
      </c>
      <c r="C41" s="99" t="s">
        <v>198</v>
      </c>
      <c r="D41" s="16" t="s">
        <v>174</v>
      </c>
      <c r="E41" s="82">
        <v>0.06</v>
      </c>
      <c r="F41" s="48"/>
      <c r="G41" s="48"/>
      <c r="H41" s="48"/>
    </row>
    <row r="42" spans="1:8" s="14" customFormat="1">
      <c r="A42" s="31">
        <f t="shared" si="0"/>
        <v>21</v>
      </c>
      <c r="B42" s="31" t="s">
        <v>84</v>
      </c>
      <c r="C42" s="101" t="s">
        <v>163</v>
      </c>
      <c r="D42" s="100" t="s">
        <v>9</v>
      </c>
      <c r="E42" s="82">
        <v>226</v>
      </c>
      <c r="F42" s="48"/>
      <c r="G42" s="48"/>
      <c r="H42" s="48"/>
    </row>
    <row r="43" spans="1:8" s="14" customFormat="1" ht="25.5">
      <c r="A43" s="51">
        <f t="shared" si="0"/>
        <v>22</v>
      </c>
      <c r="B43" s="31" t="s">
        <v>84</v>
      </c>
      <c r="C43" s="103" t="s">
        <v>164</v>
      </c>
      <c r="D43" s="104" t="s">
        <v>9</v>
      </c>
      <c r="E43" s="82">
        <v>226</v>
      </c>
      <c r="F43" s="48"/>
      <c r="G43" s="48"/>
      <c r="H43" s="48"/>
    </row>
    <row r="44" spans="1:8" s="14" customFormat="1" ht="25.5">
      <c r="A44" s="76"/>
      <c r="B44" s="76" t="s">
        <v>376</v>
      </c>
      <c r="C44" s="171" t="s">
        <v>387</v>
      </c>
      <c r="D44" s="96"/>
      <c r="E44" s="136"/>
      <c r="F44" s="48"/>
      <c r="G44" s="48"/>
      <c r="H44" s="48"/>
    </row>
    <row r="45" spans="1:8" s="14" customFormat="1" ht="25.5">
      <c r="A45" s="7">
        <f>A43+1</f>
        <v>23</v>
      </c>
      <c r="B45" s="7" t="s">
        <v>84</v>
      </c>
      <c r="C45" s="106" t="s">
        <v>199</v>
      </c>
      <c r="D45" s="62" t="s">
        <v>9</v>
      </c>
      <c r="E45" s="82">
        <v>79</v>
      </c>
      <c r="F45" s="48"/>
      <c r="G45" s="48"/>
      <c r="H45" s="48"/>
    </row>
    <row r="46" spans="1:8" s="14" customFormat="1" ht="38.25">
      <c r="A46" s="31">
        <f t="shared" si="0"/>
        <v>24</v>
      </c>
      <c r="B46" s="31" t="s">
        <v>84</v>
      </c>
      <c r="C46" s="99" t="s">
        <v>200</v>
      </c>
      <c r="D46" s="16" t="s">
        <v>8</v>
      </c>
      <c r="E46" s="82">
        <v>2</v>
      </c>
      <c r="F46" s="48"/>
      <c r="G46" s="48"/>
      <c r="H46" s="48"/>
    </row>
    <row r="47" spans="1:8" s="14" customFormat="1" ht="51">
      <c r="A47" s="31">
        <f t="shared" si="0"/>
        <v>25</v>
      </c>
      <c r="B47" s="31" t="s">
        <v>84</v>
      </c>
      <c r="C47" s="15" t="s">
        <v>201</v>
      </c>
      <c r="D47" s="16" t="s">
        <v>8</v>
      </c>
      <c r="E47" s="82">
        <v>1</v>
      </c>
      <c r="F47" s="48"/>
      <c r="G47" s="48"/>
      <c r="H47" s="48"/>
    </row>
    <row r="48" spans="1:8" s="14" customFormat="1">
      <c r="A48" s="31">
        <f t="shared" si="0"/>
        <v>26</v>
      </c>
      <c r="B48" s="31" t="s">
        <v>84</v>
      </c>
      <c r="C48" s="99" t="s">
        <v>202</v>
      </c>
      <c r="D48" s="16" t="s">
        <v>90</v>
      </c>
      <c r="E48" s="82">
        <v>3</v>
      </c>
      <c r="F48" s="48"/>
      <c r="G48" s="48"/>
      <c r="H48" s="48"/>
    </row>
    <row r="49" spans="1:8" s="14" customFormat="1">
      <c r="A49" s="31">
        <f t="shared" si="0"/>
        <v>27</v>
      </c>
      <c r="B49" s="31" t="s">
        <v>84</v>
      </c>
      <c r="C49" s="99" t="s">
        <v>165</v>
      </c>
      <c r="D49" s="16" t="s">
        <v>162</v>
      </c>
      <c r="E49" s="82">
        <v>1</v>
      </c>
      <c r="F49" s="48"/>
      <c r="G49" s="48"/>
      <c r="H49" s="48"/>
    </row>
    <row r="50" spans="1:8" s="14" customFormat="1" ht="25.5">
      <c r="A50" s="31">
        <f t="shared" si="0"/>
        <v>28</v>
      </c>
      <c r="B50" s="31" t="s">
        <v>84</v>
      </c>
      <c r="C50" s="99" t="s">
        <v>160</v>
      </c>
      <c r="D50" s="85" t="s">
        <v>10</v>
      </c>
      <c r="E50" s="82">
        <v>40</v>
      </c>
      <c r="F50" s="48"/>
      <c r="G50" s="48"/>
      <c r="H50" s="48"/>
    </row>
    <row r="51" spans="1:8" s="14" customFormat="1">
      <c r="A51" s="31">
        <f t="shared" si="0"/>
        <v>29</v>
      </c>
      <c r="B51" s="31" t="s">
        <v>84</v>
      </c>
      <c r="C51" s="99" t="s">
        <v>166</v>
      </c>
      <c r="D51" s="100" t="s">
        <v>9</v>
      </c>
      <c r="E51" s="82">
        <v>79</v>
      </c>
      <c r="F51" s="48"/>
      <c r="G51" s="48"/>
      <c r="H51" s="48"/>
    </row>
    <row r="52" spans="1:8" s="14" customFormat="1" ht="25.5">
      <c r="A52" s="31">
        <f t="shared" si="0"/>
        <v>30</v>
      </c>
      <c r="B52" s="31" t="s">
        <v>84</v>
      </c>
      <c r="C52" s="101" t="s">
        <v>167</v>
      </c>
      <c r="D52" s="100" t="s">
        <v>9</v>
      </c>
      <c r="E52" s="82">
        <v>79</v>
      </c>
      <c r="F52" s="48"/>
      <c r="G52" s="48"/>
      <c r="H52" s="48"/>
    </row>
    <row r="53" spans="1:8" s="14" customFormat="1">
      <c r="A53" s="51">
        <f t="shared" si="0"/>
        <v>31</v>
      </c>
      <c r="B53" s="51" t="s">
        <v>84</v>
      </c>
      <c r="C53" s="107" t="s">
        <v>163</v>
      </c>
      <c r="D53" s="104" t="s">
        <v>9</v>
      </c>
      <c r="E53" s="82">
        <v>79</v>
      </c>
      <c r="F53" s="48"/>
      <c r="G53" s="48"/>
      <c r="H53" s="48"/>
    </row>
    <row r="54" spans="1:8" s="14" customFormat="1" ht="25.5">
      <c r="A54" s="76"/>
      <c r="B54" s="76" t="s">
        <v>376</v>
      </c>
      <c r="C54" s="172" t="s">
        <v>391</v>
      </c>
      <c r="D54" s="108"/>
      <c r="E54" s="173"/>
      <c r="F54" s="48"/>
      <c r="G54" s="48"/>
      <c r="H54" s="48"/>
    </row>
    <row r="55" spans="1:8" s="14" customFormat="1">
      <c r="A55" s="91">
        <f>A53+1</f>
        <v>32</v>
      </c>
      <c r="B55" s="91" t="s">
        <v>84</v>
      </c>
      <c r="C55" s="109" t="s">
        <v>168</v>
      </c>
      <c r="D55" s="110" t="s">
        <v>162</v>
      </c>
      <c r="E55" s="82">
        <v>1</v>
      </c>
      <c r="F55" s="48"/>
      <c r="G55" s="48"/>
      <c r="H55" s="48"/>
    </row>
    <row r="56" spans="1:8" s="14" customFormat="1" ht="25.5">
      <c r="A56" s="76"/>
      <c r="B56" s="76" t="s">
        <v>376</v>
      </c>
      <c r="C56" s="172" t="s">
        <v>392</v>
      </c>
      <c r="D56" s="108"/>
      <c r="E56" s="173"/>
      <c r="F56" s="48"/>
      <c r="G56" s="48"/>
      <c r="H56" s="48"/>
    </row>
    <row r="57" spans="1:8" s="14" customFormat="1" ht="15.75">
      <c r="A57" s="7">
        <f>A55+1</f>
        <v>33</v>
      </c>
      <c r="B57" s="7" t="s">
        <v>84</v>
      </c>
      <c r="C57" s="88" t="s">
        <v>169</v>
      </c>
      <c r="D57" s="89" t="s">
        <v>175</v>
      </c>
      <c r="E57" s="82">
        <v>71</v>
      </c>
      <c r="F57" s="48"/>
      <c r="G57" s="48"/>
      <c r="H57" s="48"/>
    </row>
    <row r="58" spans="1:8" s="14" customFormat="1" ht="15.75">
      <c r="A58" s="31">
        <f t="shared" si="0"/>
        <v>34</v>
      </c>
      <c r="B58" s="31" t="s">
        <v>84</v>
      </c>
      <c r="C58" s="84" t="s">
        <v>170</v>
      </c>
      <c r="D58" s="85" t="s">
        <v>175</v>
      </c>
      <c r="E58" s="82">
        <v>71</v>
      </c>
      <c r="F58" s="48"/>
      <c r="G58" s="48"/>
      <c r="H58" s="48"/>
    </row>
    <row r="59" spans="1:8" s="14" customFormat="1" ht="25.5">
      <c r="A59" s="31">
        <f t="shared" si="0"/>
        <v>35</v>
      </c>
      <c r="B59" s="31" t="s">
        <v>84</v>
      </c>
      <c r="C59" s="174" t="s">
        <v>399</v>
      </c>
      <c r="D59" s="85" t="s">
        <v>7</v>
      </c>
      <c r="E59" s="82">
        <v>71</v>
      </c>
      <c r="F59" s="48"/>
      <c r="G59" s="48"/>
      <c r="H59" s="48"/>
    </row>
    <row r="60" spans="1:8" s="14" customFormat="1" ht="15.75">
      <c r="A60" s="31">
        <f t="shared" si="0"/>
        <v>36</v>
      </c>
      <c r="B60" s="31" t="s">
        <v>84</v>
      </c>
      <c r="C60" s="15" t="s">
        <v>171</v>
      </c>
      <c r="D60" s="85" t="s">
        <v>175</v>
      </c>
      <c r="E60" s="82">
        <v>16</v>
      </c>
      <c r="F60" s="48"/>
      <c r="G60" s="48"/>
      <c r="H60" s="48"/>
    </row>
    <row r="61" spans="1:8" s="14" customFormat="1" ht="15.75">
      <c r="A61" s="31">
        <f t="shared" si="0"/>
        <v>37</v>
      </c>
      <c r="B61" s="31" t="s">
        <v>84</v>
      </c>
      <c r="C61" s="15" t="s">
        <v>172</v>
      </c>
      <c r="D61" s="85" t="s">
        <v>175</v>
      </c>
      <c r="E61" s="82">
        <v>16</v>
      </c>
      <c r="F61" s="48"/>
      <c r="G61" s="48"/>
      <c r="H61" s="48"/>
    </row>
    <row r="62" spans="1:8" s="14" customFormat="1">
      <c r="A62" s="31">
        <f t="shared" si="0"/>
        <v>38</v>
      </c>
      <c r="B62" s="31" t="s">
        <v>84</v>
      </c>
      <c r="C62" s="55" t="s">
        <v>393</v>
      </c>
      <c r="D62" s="85" t="s">
        <v>7</v>
      </c>
      <c r="E62" s="82">
        <v>16</v>
      </c>
      <c r="F62" s="48"/>
      <c r="G62" s="48"/>
      <c r="H62" s="48"/>
    </row>
    <row r="63" spans="1:8" s="14" customFormat="1">
      <c r="A63" s="31">
        <f t="shared" si="0"/>
        <v>39</v>
      </c>
      <c r="B63" s="31" t="s">
        <v>84</v>
      </c>
      <c r="C63" s="55" t="s">
        <v>394</v>
      </c>
      <c r="D63" s="85" t="s">
        <v>7</v>
      </c>
      <c r="E63" s="82">
        <v>16</v>
      </c>
      <c r="F63" s="48"/>
      <c r="G63" s="48"/>
      <c r="H63" s="48"/>
    </row>
    <row r="64" spans="1:8" s="14" customFormat="1">
      <c r="A64" s="31">
        <f t="shared" si="0"/>
        <v>40</v>
      </c>
      <c r="B64" s="31" t="s">
        <v>84</v>
      </c>
      <c r="C64" s="55" t="s">
        <v>395</v>
      </c>
      <c r="D64" s="85" t="s">
        <v>10</v>
      </c>
      <c r="E64" s="82">
        <v>5</v>
      </c>
      <c r="F64" s="48"/>
      <c r="G64" s="48"/>
      <c r="H64" s="48"/>
    </row>
    <row r="65" spans="1:8" s="14" customFormat="1" ht="25.5">
      <c r="A65" s="31">
        <f t="shared" si="0"/>
        <v>41</v>
      </c>
      <c r="B65" s="31" t="s">
        <v>84</v>
      </c>
      <c r="C65" s="55" t="s">
        <v>396</v>
      </c>
      <c r="D65" s="85" t="s">
        <v>10</v>
      </c>
      <c r="E65" s="82">
        <v>6</v>
      </c>
      <c r="F65" s="48"/>
      <c r="G65" s="48"/>
      <c r="H65" s="48"/>
    </row>
    <row r="66" spans="1:8" s="14" customFormat="1" ht="25.5">
      <c r="A66" s="31">
        <f t="shared" si="0"/>
        <v>42</v>
      </c>
      <c r="B66" s="31" t="s">
        <v>84</v>
      </c>
      <c r="C66" s="15" t="s">
        <v>1238</v>
      </c>
      <c r="D66" s="85" t="s">
        <v>175</v>
      </c>
      <c r="E66" s="82">
        <v>17</v>
      </c>
      <c r="F66" s="48"/>
      <c r="G66" s="48"/>
      <c r="H66" s="48"/>
    </row>
    <row r="67" spans="1:8" s="14" customFormat="1" ht="25.5">
      <c r="A67" s="31">
        <f t="shared" si="0"/>
        <v>43</v>
      </c>
      <c r="B67" s="31" t="s">
        <v>84</v>
      </c>
      <c r="C67" s="15" t="s">
        <v>1239</v>
      </c>
      <c r="D67" s="85" t="s">
        <v>175</v>
      </c>
      <c r="E67" s="82">
        <v>17</v>
      </c>
      <c r="F67" s="48"/>
      <c r="G67" s="48"/>
      <c r="H67" s="48"/>
    </row>
    <row r="68" spans="1:8" s="14" customFormat="1">
      <c r="A68" s="31">
        <f t="shared" si="0"/>
        <v>44</v>
      </c>
      <c r="B68" s="31" t="s">
        <v>84</v>
      </c>
      <c r="C68" s="55" t="s">
        <v>397</v>
      </c>
      <c r="D68" s="85" t="s">
        <v>10</v>
      </c>
      <c r="E68" s="82">
        <v>4</v>
      </c>
      <c r="F68" s="48"/>
      <c r="G68" s="48"/>
      <c r="H68" s="48"/>
    </row>
    <row r="69" spans="1:8" s="14" customFormat="1" ht="25.5">
      <c r="A69" s="31">
        <f t="shared" si="0"/>
        <v>45</v>
      </c>
      <c r="B69" s="31" t="s">
        <v>84</v>
      </c>
      <c r="C69" s="55" t="s">
        <v>398</v>
      </c>
      <c r="D69" s="85" t="s">
        <v>10</v>
      </c>
      <c r="E69" s="82">
        <v>6</v>
      </c>
      <c r="F69" s="48"/>
      <c r="G69" s="48"/>
      <c r="H69" s="48"/>
    </row>
    <row r="70" spans="1:8" s="45" customFormat="1" ht="15.75">
      <c r="A70" s="31">
        <f t="shared" si="0"/>
        <v>46</v>
      </c>
      <c r="B70" s="33" t="s">
        <v>84</v>
      </c>
      <c r="C70" s="56" t="s">
        <v>173</v>
      </c>
      <c r="D70" s="102" t="s">
        <v>176</v>
      </c>
      <c r="E70" s="82">
        <v>36</v>
      </c>
      <c r="F70" s="44"/>
      <c r="G70" s="44"/>
    </row>
    <row r="71" spans="1:8" s="21" customFormat="1">
      <c r="A71" s="283"/>
      <c r="B71" s="283"/>
      <c r="C71" s="37" t="s">
        <v>1094</v>
      </c>
      <c r="D71" s="38"/>
      <c r="E71" s="39"/>
    </row>
    <row r="72" spans="1:8" s="21" customFormat="1">
      <c r="A72" s="19"/>
      <c r="B72" s="19"/>
      <c r="C72" s="20"/>
    </row>
    <row r="73" spans="1:8">
      <c r="A73" s="22"/>
      <c r="B73" s="6"/>
      <c r="C73" s="20"/>
      <c r="D73" s="20"/>
      <c r="E73" s="255"/>
      <c r="F73" s="216"/>
      <c r="G73" s="215"/>
    </row>
    <row r="74" spans="1:8">
      <c r="A74" s="331" t="s">
        <v>14</v>
      </c>
      <c r="B74" s="331"/>
      <c r="C74" s="275" t="s">
        <v>1082</v>
      </c>
      <c r="D74" s="20"/>
      <c r="E74" s="255"/>
      <c r="F74" s="218"/>
      <c r="G74" s="217"/>
    </row>
    <row r="75" spans="1:8">
      <c r="B75" s="6"/>
      <c r="C75" s="74" t="s">
        <v>15</v>
      </c>
      <c r="D75" s="20"/>
      <c r="E75" s="255"/>
      <c r="F75" s="220"/>
      <c r="G75" s="217"/>
    </row>
    <row r="76" spans="1:8">
      <c r="B76" s="6"/>
      <c r="C76" s="238" t="s">
        <v>21</v>
      </c>
      <c r="D76" s="20"/>
      <c r="E76" s="255"/>
      <c r="F76" s="215"/>
      <c r="G76" s="215"/>
    </row>
    <row r="77" spans="1:8">
      <c r="B77" s="6"/>
      <c r="C77" s="6" t="s">
        <v>1086</v>
      </c>
      <c r="D77" s="20"/>
      <c r="E77" s="255"/>
      <c r="F77" s="215"/>
      <c r="G77" s="215"/>
    </row>
  </sheetData>
  <mergeCells count="8">
    <mergeCell ref="A1:E1"/>
    <mergeCell ref="A2:E2"/>
    <mergeCell ref="A74:B74"/>
    <mergeCell ref="A11:A12"/>
    <mergeCell ref="B11:B12"/>
    <mergeCell ref="C11:C12"/>
    <mergeCell ref="D11:D12"/>
    <mergeCell ref="E11:E12"/>
  </mergeCells>
  <printOptions horizontalCentered="1"/>
  <pageMargins left="0.55118110236220474" right="0.55118110236220474" top="1.0236220472440944" bottom="0.35433070866141736" header="0.43307086614173229" footer="0.23622047244094491"/>
  <pageSetup paperSize="9" scale="80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1-1.VC</vt:lpstr>
      <vt:lpstr>1-2.BK</vt:lpstr>
      <vt:lpstr>2-1.ŪK</vt:lpstr>
      <vt:lpstr>2-2.A</vt:lpstr>
      <vt:lpstr>2-3.V</vt:lpstr>
      <vt:lpstr>2-4.EL</vt:lpstr>
      <vt:lpstr>2-5.VS</vt:lpstr>
      <vt:lpstr>2-6.UAS</vt:lpstr>
      <vt:lpstr>2-7.ŪKT</vt:lpstr>
      <vt:lpstr>2-8.ELT</vt:lpstr>
      <vt:lpstr>2-9.Lifts</vt:lpstr>
      <vt:lpstr>2.10.Gāze</vt:lpstr>
      <vt:lpstr>3-1.LAB</vt:lpstr>
      <vt:lpstr>'1-1.VC'!Print_Area</vt:lpstr>
      <vt:lpstr>'2-9.Lifts'!Print_Area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EdgarsK</dc:creator>
  <cp:lastModifiedBy>Ivo</cp:lastModifiedBy>
  <cp:lastPrinted>2018-07-11T15:00:19Z</cp:lastPrinted>
  <dcterms:created xsi:type="dcterms:W3CDTF">1996-10-14T23:33:28Z</dcterms:created>
  <dcterms:modified xsi:type="dcterms:W3CDTF">2018-08-01T12:55:56Z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